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elyn\Documents\Free Templates\"/>
    </mc:Choice>
  </mc:AlternateContent>
  <xr:revisionPtr revIDLastSave="0" documentId="8_{DE402811-0F59-481F-9CBF-AF0896494A9F}" xr6:coauthVersionLast="41" xr6:coauthVersionMax="41" xr10:uidLastSave="{00000000-0000-0000-0000-000000000000}"/>
  <bookViews>
    <workbookView xWindow="-96" yWindow="-96" windowWidth="19392" windowHeight="10392" xr2:uid="{00000000-000D-0000-FFFF-FFFF00000000}"/>
  </bookViews>
  <sheets>
    <sheet name="Summary" sheetId="7" r:id="rId1"/>
    <sheet name="Contract" sheetId="1" r:id="rId2"/>
    <sheet name="Lockdown" sheetId="4" r:id="rId3"/>
    <sheet name="Selection Completion" sheetId="8" r:id="rId4"/>
    <sheet name="Closing" sheetId="5" r:id="rId5"/>
  </sheets>
  <definedNames>
    <definedName name="Areas">#REF!</definedName>
    <definedName name="Estimators">#REF!</definedName>
  </definedNames>
  <calcPr calcId="181029"/>
</workbook>
</file>

<file path=xl/calcChain.xml><?xml version="1.0" encoding="utf-8"?>
<calcChain xmlns="http://schemas.openxmlformats.org/spreadsheetml/2006/main">
  <c r="A1" i="5" l="1"/>
  <c r="A1" i="8"/>
  <c r="A1" i="4"/>
  <c r="A1" i="1"/>
  <c r="H30" i="1" l="1"/>
  <c r="D30" i="1"/>
  <c r="D33" i="8" l="1"/>
  <c r="B15" i="7" l="1"/>
  <c r="L16" i="7"/>
  <c r="B17" i="7"/>
  <c r="H36" i="4" l="1"/>
  <c r="H32" i="4"/>
  <c r="D36" i="4"/>
  <c r="D34" i="4"/>
  <c r="D34" i="8" s="1"/>
  <c r="D32" i="4"/>
  <c r="H32" i="8" l="1"/>
  <c r="H32" i="5" s="1"/>
  <c r="D32" i="8"/>
  <c r="L15" i="7" s="1"/>
  <c r="G15" i="7"/>
  <c r="L14" i="5" l="1"/>
  <c r="L15" i="5"/>
  <c r="J14" i="5"/>
  <c r="J15" i="5"/>
  <c r="H13" i="5"/>
  <c r="H16" i="5" s="1"/>
  <c r="G18" i="8"/>
  <c r="G18" i="4"/>
  <c r="H14" i="8"/>
  <c r="H13" i="8"/>
  <c r="H13" i="4"/>
  <c r="H16" i="4" s="1"/>
  <c r="D38" i="8"/>
  <c r="L38" i="8" s="1"/>
  <c r="D37" i="8"/>
  <c r="L36" i="8"/>
  <c r="H36" i="8"/>
  <c r="L35" i="8"/>
  <c r="H35" i="8"/>
  <c r="D22" i="8"/>
  <c r="D21" i="8"/>
  <c r="D20" i="8"/>
  <c r="D19" i="8"/>
  <c r="D18" i="8"/>
  <c r="D13" i="8"/>
  <c r="C8" i="8"/>
  <c r="K7" i="8"/>
  <c r="C7" i="8"/>
  <c r="K6" i="8"/>
  <c r="C6" i="8"/>
  <c r="C5" i="8"/>
  <c r="K4" i="8"/>
  <c r="C4" i="8"/>
  <c r="J35" i="8" l="1"/>
  <c r="M16" i="7"/>
  <c r="N16" i="7" s="1"/>
  <c r="O16" i="7" s="1"/>
  <c r="H35" i="5"/>
  <c r="R16" i="7" s="1"/>
  <c r="J36" i="8"/>
  <c r="H36" i="5"/>
  <c r="H37" i="8"/>
  <c r="L17" i="7"/>
  <c r="H16" i="8"/>
  <c r="I16" i="8" s="1"/>
  <c r="I13" i="8"/>
  <c r="J32" i="8"/>
  <c r="L32" i="8" s="1"/>
  <c r="J13" i="8"/>
  <c r="L13" i="8" s="1"/>
  <c r="J38" i="8"/>
  <c r="J37" i="8" l="1"/>
  <c r="L37" i="8" s="1"/>
  <c r="O17" i="7" s="1"/>
  <c r="M17" i="7"/>
  <c r="N17" i="7" s="1"/>
  <c r="G19" i="5"/>
  <c r="G19" i="8"/>
  <c r="G19" i="4"/>
  <c r="J16" i="8"/>
  <c r="L16" i="8" s="1"/>
  <c r="D33" i="5"/>
  <c r="D34" i="5"/>
  <c r="D35" i="5"/>
  <c r="D36" i="5"/>
  <c r="Q16" i="7" s="1"/>
  <c r="D37" i="5"/>
  <c r="Q17" i="7" s="1"/>
  <c r="D38" i="5"/>
  <c r="H33" i="4"/>
  <c r="H33" i="8" s="1"/>
  <c r="S16" i="7" l="1"/>
  <c r="T16" i="7"/>
  <c r="H33" i="5"/>
  <c r="J33" i="8"/>
  <c r="L33" i="8" s="1"/>
  <c r="C15" i="7"/>
  <c r="D15" i="7" s="1"/>
  <c r="E15" i="7" s="1"/>
  <c r="H34" i="4"/>
  <c r="J36" i="4"/>
  <c r="L36" i="4" s="1"/>
  <c r="R6" i="7"/>
  <c r="R5" i="7"/>
  <c r="R4" i="7"/>
  <c r="H34" i="8" l="1"/>
  <c r="H15" i="7"/>
  <c r="I15" i="7" s="1"/>
  <c r="J15" i="7" s="1"/>
  <c r="J36" i="5"/>
  <c r="L36" i="5" s="1"/>
  <c r="J34" i="1"/>
  <c r="L34" i="1" s="1"/>
  <c r="C5" i="7"/>
  <c r="C6" i="7"/>
  <c r="C7" i="7"/>
  <c r="C8" i="7"/>
  <c r="C4" i="7"/>
  <c r="H34" i="5" l="1"/>
  <c r="R15" i="7" s="1"/>
  <c r="M15" i="7"/>
  <c r="N15" i="7" s="1"/>
  <c r="O15" i="7" s="1"/>
  <c r="J34" i="8"/>
  <c r="L34" i="8" s="1"/>
  <c r="D38" i="4"/>
  <c r="D37" i="4"/>
  <c r="J33" i="5"/>
  <c r="J33" i="4"/>
  <c r="D32" i="5"/>
  <c r="Q15" i="7" s="1"/>
  <c r="D19" i="5"/>
  <c r="D20" i="5"/>
  <c r="D21" i="5"/>
  <c r="D22" i="5"/>
  <c r="D19" i="4"/>
  <c r="D20" i="4"/>
  <c r="D21" i="4"/>
  <c r="D22" i="4"/>
  <c r="D18" i="5"/>
  <c r="D18" i="4"/>
  <c r="D13" i="5"/>
  <c r="D13" i="4"/>
  <c r="K6" i="5"/>
  <c r="K6" i="4"/>
  <c r="K7" i="5"/>
  <c r="K7" i="4"/>
  <c r="K4" i="5"/>
  <c r="K4" i="4"/>
  <c r="C8" i="5"/>
  <c r="C8" i="4"/>
  <c r="C7" i="5"/>
  <c r="C7" i="4"/>
  <c r="C6" i="5"/>
  <c r="C6" i="4"/>
  <c r="C5" i="5"/>
  <c r="C5" i="4"/>
  <c r="C4" i="5"/>
  <c r="C4" i="4"/>
  <c r="J35" i="5"/>
  <c r="L35" i="5" s="1"/>
  <c r="L35" i="4"/>
  <c r="H33" i="1"/>
  <c r="I13" i="1"/>
  <c r="J36" i="1"/>
  <c r="L36" i="1" s="1"/>
  <c r="J33" i="1" l="1"/>
  <c r="L33" i="1" s="1"/>
  <c r="H35" i="4"/>
  <c r="J35" i="4" s="1"/>
  <c r="S15" i="7"/>
  <c r="T15" i="7"/>
  <c r="H37" i="4"/>
  <c r="H17" i="7" s="1"/>
  <c r="G17" i="7"/>
  <c r="L33" i="4"/>
  <c r="L38" i="4"/>
  <c r="L33" i="5"/>
  <c r="J38" i="5"/>
  <c r="L38" i="5" s="1"/>
  <c r="I16" i="4"/>
  <c r="J38" i="4"/>
  <c r="J32" i="4"/>
  <c r="L32" i="4" s="1"/>
  <c r="J16" i="4"/>
  <c r="L16" i="4" s="1"/>
  <c r="J34" i="4"/>
  <c r="L34" i="4" s="1"/>
  <c r="H37" i="5"/>
  <c r="R17" i="7" s="1"/>
  <c r="S17" i="7" s="1"/>
  <c r="J34" i="5"/>
  <c r="L34" i="5" s="1"/>
  <c r="I13" i="4"/>
  <c r="J13" i="4"/>
  <c r="L13" i="4" s="1"/>
  <c r="D28" i="1"/>
  <c r="I17" i="7" l="1"/>
  <c r="J37" i="4"/>
  <c r="L37" i="4" s="1"/>
  <c r="J17" i="7" s="1"/>
  <c r="D30" i="8"/>
  <c r="L14" i="7" s="1"/>
  <c r="B14" i="7"/>
  <c r="J32" i="5"/>
  <c r="L32" i="5" s="1"/>
  <c r="D41" i="1"/>
  <c r="B19" i="7" s="1"/>
  <c r="J37" i="5"/>
  <c r="L37" i="5" s="1"/>
  <c r="T17" i="7" s="1"/>
  <c r="D30" i="4"/>
  <c r="G14" i="7" s="1"/>
  <c r="D30" i="5"/>
  <c r="Q14" i="7" s="1"/>
  <c r="E28" i="1"/>
  <c r="D37" i="1"/>
  <c r="H35" i="1"/>
  <c r="C17" i="7" s="1"/>
  <c r="D17" i="7" s="1"/>
  <c r="J31" i="1"/>
  <c r="L31" i="1" s="1"/>
  <c r="E30" i="8" l="1"/>
  <c r="D39" i="8"/>
  <c r="G20" i="8" s="1"/>
  <c r="G23" i="8"/>
  <c r="D43" i="8"/>
  <c r="L19" i="7" s="1"/>
  <c r="G23" i="5"/>
  <c r="D43" i="5"/>
  <c r="Q19" i="7" s="1"/>
  <c r="G23" i="4"/>
  <c r="D43" i="4"/>
  <c r="G19" i="7" s="1"/>
  <c r="E30" i="4"/>
  <c r="D39" i="4"/>
  <c r="E30" i="5"/>
  <c r="D39" i="5"/>
  <c r="J30" i="1"/>
  <c r="L30" i="1" s="1"/>
  <c r="J35" i="1"/>
  <c r="L35" i="1" s="1"/>
  <c r="E17" i="7" s="1"/>
  <c r="D40" i="8" l="1"/>
  <c r="D45" i="8" s="1"/>
  <c r="D23" i="8" s="1"/>
  <c r="H28" i="8"/>
  <c r="H30" i="8" s="1"/>
  <c r="M14" i="7" s="1"/>
  <c r="N14" i="7" s="1"/>
  <c r="D40" i="5"/>
  <c r="D45" i="5" s="1"/>
  <c r="D23" i="5" s="1"/>
  <c r="G20" i="5"/>
  <c r="J32" i="1"/>
  <c r="L32" i="1" s="1"/>
  <c r="D40" i="4"/>
  <c r="D45" i="4" s="1"/>
  <c r="D23" i="4" s="1"/>
  <c r="G20" i="4"/>
  <c r="J30" i="8" l="1"/>
  <c r="L30" i="8" s="1"/>
  <c r="O14" i="7" s="1"/>
  <c r="I30" i="8"/>
  <c r="H43" i="8"/>
  <c r="M19" i="7" s="1"/>
  <c r="N19" i="7" s="1"/>
  <c r="H39" i="8"/>
  <c r="J39" i="8" s="1"/>
  <c r="L39" i="8" s="1"/>
  <c r="H28" i="5"/>
  <c r="H30" i="5" s="1"/>
  <c r="H28" i="4"/>
  <c r="H30" i="4" s="1"/>
  <c r="H14" i="7" s="1"/>
  <c r="I14" i="7" s="1"/>
  <c r="D38" i="1"/>
  <c r="J43" i="8" l="1"/>
  <c r="L43" i="8" s="1"/>
  <c r="O19" i="7" s="1"/>
  <c r="D43" i="1"/>
  <c r="D21" i="1" s="1"/>
  <c r="H26" i="1"/>
  <c r="H28" i="1" s="1"/>
  <c r="H39" i="5"/>
  <c r="J39" i="5" s="1"/>
  <c r="L39" i="5" s="1"/>
  <c r="R14" i="7"/>
  <c r="S14" i="7" s="1"/>
  <c r="H43" i="4"/>
  <c r="H19" i="7" s="1"/>
  <c r="I19" i="7" s="1"/>
  <c r="J16" i="5"/>
  <c r="L16" i="5" s="1"/>
  <c r="I16" i="5"/>
  <c r="H43" i="5"/>
  <c r="R19" i="7" s="1"/>
  <c r="S19" i="7" s="1"/>
  <c r="I30" i="5"/>
  <c r="J30" i="5"/>
  <c r="L30" i="5" s="1"/>
  <c r="T14" i="7" s="1"/>
  <c r="I30" i="4"/>
  <c r="H39" i="4"/>
  <c r="J39" i="4" s="1"/>
  <c r="L39" i="4" s="1"/>
  <c r="J30" i="4"/>
  <c r="L30" i="4" s="1"/>
  <c r="J14" i="7" s="1"/>
  <c r="J13" i="1"/>
  <c r="L13" i="1" s="1"/>
  <c r="C14" i="7" l="1"/>
  <c r="D14" i="7" s="1"/>
  <c r="J28" i="1"/>
  <c r="L28" i="1" s="1"/>
  <c r="E14" i="7" s="1"/>
  <c r="I28" i="1"/>
  <c r="H37" i="1"/>
  <c r="J37" i="1" s="1"/>
  <c r="L37" i="1" s="1"/>
  <c r="H41" i="1"/>
  <c r="J43" i="5"/>
  <c r="L43" i="5" s="1"/>
  <c r="T19" i="7" s="1"/>
  <c r="J13" i="5"/>
  <c r="L13" i="5" s="1"/>
  <c r="I13" i="5"/>
  <c r="J43" i="4"/>
  <c r="L43" i="4" s="1"/>
  <c r="J19" i="7" s="1"/>
  <c r="C19" i="7" l="1"/>
  <c r="D19" i="7" s="1"/>
  <c r="J41" i="1"/>
  <c r="L41" i="1" s="1"/>
  <c r="E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</author>
  </authors>
  <commentList>
    <comment ref="F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Includes construction, furnishing, conversion at sale</t>
        </r>
      </text>
    </comment>
    <comment ref="B3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Take allowances out of this amount and add to DC below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Deliany Sather - Crystal Creek Homes</author>
    <author>Trevor</author>
  </authors>
  <commentList>
    <comment ref="H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Deliany Sather - Crystal Creek Homes:</t>
        </r>
        <r>
          <rPr>
            <sz val="9"/>
            <color indexed="81"/>
            <rFont val="Tahoma"/>
            <family val="2"/>
          </rPr>
          <t xml:space="preserve">
Field po's are not part of lockdown budget analysis.</t>
        </r>
      </text>
    </comment>
    <comment ref="F2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Includes construction, furnishing, conversion at sale</t>
        </r>
      </text>
    </comment>
    <comment ref="B32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Take allowances out of this amount and add to DC below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Deliany Sather - Crystal Creek Homes</author>
    <author>Trevor</author>
  </authors>
  <commentList>
    <comment ref="H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Deliany Sather - Crystal Creek Homes:</t>
        </r>
        <r>
          <rPr>
            <sz val="9"/>
            <color indexed="81"/>
            <rFont val="Tahoma"/>
            <family val="2"/>
          </rPr>
          <t xml:space="preserve">
Field po's are not part of lockdown budget analysis.</t>
        </r>
      </text>
    </comment>
    <comment ref="F2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Includes construction, furnishing, conversion at sale</t>
        </r>
      </text>
    </comment>
    <comment ref="B32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Take allowances out of this amount and add to DC below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</author>
  </authors>
  <commentList>
    <comment ref="F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Includes construction, furnishing, conversion at sale</t>
        </r>
      </text>
    </comment>
    <comment ref="B3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Trevor:</t>
        </r>
        <r>
          <rPr>
            <sz val="9"/>
            <color indexed="81"/>
            <rFont val="Tahoma"/>
            <family val="2"/>
          </rPr>
          <t xml:space="preserve">
Take allowances out of this amount and add to DC below</t>
        </r>
      </text>
    </comment>
  </commentList>
</comments>
</file>

<file path=xl/sharedStrings.xml><?xml version="1.0" encoding="utf-8"?>
<sst xmlns="http://schemas.openxmlformats.org/spreadsheetml/2006/main" count="271" uniqueCount="77">
  <si>
    <t>MARGIN SHEET</t>
  </si>
  <si>
    <t>Customer Name</t>
  </si>
  <si>
    <t>Legal Address</t>
  </si>
  <si>
    <t>Civic Address</t>
  </si>
  <si>
    <t>Model</t>
  </si>
  <si>
    <t>Square Feet</t>
  </si>
  <si>
    <t>Contract Date</t>
  </si>
  <si>
    <t>Community</t>
  </si>
  <si>
    <t>Soft Costs</t>
  </si>
  <si>
    <t>Lot Price</t>
  </si>
  <si>
    <t>Subtotal</t>
  </si>
  <si>
    <t>GST</t>
  </si>
  <si>
    <t>Total Purchase Price</t>
  </si>
  <si>
    <t>Retail</t>
  </si>
  <si>
    <t>Cost</t>
  </si>
  <si>
    <t>Base Model</t>
  </si>
  <si>
    <t>Basement Development</t>
  </si>
  <si>
    <t xml:space="preserve">   </t>
  </si>
  <si>
    <t xml:space="preserve">      Haul/Fill</t>
  </si>
  <si>
    <t>Margin$</t>
  </si>
  <si>
    <t>Margin %</t>
  </si>
  <si>
    <t>Total Soft Costs</t>
  </si>
  <si>
    <t xml:space="preserve">      Land Interest</t>
  </si>
  <si>
    <t xml:space="preserve">      Mortgage Interest</t>
  </si>
  <si>
    <t xml:space="preserve">      Commissions</t>
  </si>
  <si>
    <t xml:space="preserve">      Outside Realtor</t>
  </si>
  <si>
    <t xml:space="preserve">      Listing Fees</t>
  </si>
  <si>
    <t>Job #</t>
  </si>
  <si>
    <t>Schedule 2 Upgrades</t>
  </si>
  <si>
    <t>Estimated Poss. Date</t>
  </si>
  <si>
    <t>Deposit 1</t>
  </si>
  <si>
    <t>Deposit 2</t>
  </si>
  <si>
    <t>Deposit 3</t>
  </si>
  <si>
    <t>Deposit 4</t>
  </si>
  <si>
    <t>Due at Close</t>
  </si>
  <si>
    <t>Foundation</t>
  </si>
  <si>
    <t>Lockup</t>
  </si>
  <si>
    <t>Initial</t>
  </si>
  <si>
    <t>Cabinets</t>
  </si>
  <si>
    <t>Sales Discounts Given</t>
  </si>
  <si>
    <t>Deposit 5</t>
  </si>
  <si>
    <t>Miscellaneous</t>
  </si>
  <si>
    <t>House Only Total</t>
  </si>
  <si>
    <t xml:space="preserve">      Landscaping/Fencing</t>
  </si>
  <si>
    <t xml:space="preserve">      Community Mrktng</t>
  </si>
  <si>
    <t xml:space="preserve">      Insurance  (Liability)</t>
  </si>
  <si>
    <t>Margin sheet done by:</t>
  </si>
  <si>
    <t>Trevor Scott</t>
  </si>
  <si>
    <t>Field POs</t>
  </si>
  <si>
    <t>Change Orders</t>
  </si>
  <si>
    <t>Base House Total</t>
  </si>
  <si>
    <t>Total Base Model</t>
  </si>
  <si>
    <t>Land</t>
  </si>
  <si>
    <t>Margin%</t>
  </si>
  <si>
    <t>Lockdown</t>
  </si>
  <si>
    <t>Closing</t>
  </si>
  <si>
    <t>Margin $</t>
  </si>
  <si>
    <t>Actual Poss. Date</t>
  </si>
  <si>
    <t xml:space="preserve">      Showhome Costs</t>
  </si>
  <si>
    <t>Allowances</t>
  </si>
  <si>
    <t>Design Centre</t>
  </si>
  <si>
    <t>Deliany Sather</t>
  </si>
  <si>
    <t>Base House</t>
  </si>
  <si>
    <t xml:space="preserve">Contract </t>
  </si>
  <si>
    <t>Selection Completion</t>
  </si>
  <si>
    <t>Base Model Budget</t>
  </si>
  <si>
    <t>Estimating Variance from Base Budget</t>
  </si>
  <si>
    <t>N/A</t>
  </si>
  <si>
    <t>Upgrades</t>
  </si>
  <si>
    <t>DC Upgrades</t>
  </si>
  <si>
    <t xml:space="preserve">      Haul/Fill/Frost Rip</t>
  </si>
  <si>
    <t xml:space="preserve">      Landscape/Fencing</t>
  </si>
  <si>
    <t>Condition Removal</t>
  </si>
  <si>
    <t>Additional</t>
  </si>
  <si>
    <t>XTC 1-credit deck roof</t>
  </si>
  <si>
    <t xml:space="preserve"> 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</si>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</sst>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$-1009]#,##0.00;[Red]\-[$$-10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6" xfId="0" applyFill="1" applyBorder="1"/>
    <xf numFmtId="0" fontId="0" fillId="2" borderId="17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1" applyFont="1" applyFill="1"/>
    <xf numFmtId="164" fontId="0" fillId="0" borderId="0" xfId="1" applyFont="1"/>
    <xf numFmtId="164" fontId="0" fillId="2" borderId="0" xfId="0" applyNumberFormat="1" applyFill="1"/>
    <xf numFmtId="10" fontId="0" fillId="2" borderId="0" xfId="2" applyNumberFormat="1" applyFont="1" applyFill="1"/>
    <xf numFmtId="164" fontId="1" fillId="2" borderId="0" xfId="1" applyFill="1"/>
    <xf numFmtId="164" fontId="3" fillId="2" borderId="0" xfId="1" applyFont="1" applyFill="1"/>
    <xf numFmtId="0" fontId="3" fillId="0" borderId="0" xfId="0" applyFont="1"/>
    <xf numFmtId="164" fontId="3" fillId="2" borderId="15" xfId="0" applyNumberFormat="1" applyFont="1" applyFill="1" applyBorder="1"/>
    <xf numFmtId="0" fontId="3" fillId="0" borderId="16" xfId="0" applyFont="1" applyBorder="1"/>
    <xf numFmtId="10" fontId="3" fillId="2" borderId="17" xfId="2" applyNumberFormat="1" applyFont="1" applyFill="1" applyBorder="1"/>
    <xf numFmtId="0" fontId="0" fillId="0" borderId="13" xfId="0" applyBorder="1"/>
    <xf numFmtId="0" fontId="0" fillId="0" borderId="14" xfId="0" applyBorder="1"/>
    <xf numFmtId="164" fontId="0" fillId="3" borderId="0" xfId="1" applyFont="1" applyFill="1"/>
    <xf numFmtId="165" fontId="0" fillId="0" borderId="0" xfId="1" applyNumberFormat="1" applyFont="1"/>
    <xf numFmtId="0" fontId="10" fillId="0" borderId="4" xfId="0" applyFont="1" applyBorder="1"/>
    <xf numFmtId="0" fontId="10" fillId="0" borderId="0" xfId="0" applyFont="1"/>
    <xf numFmtId="164" fontId="10" fillId="0" borderId="0" xfId="1" applyFont="1"/>
    <xf numFmtId="0" fontId="11" fillId="0" borderId="0" xfId="0" applyFont="1"/>
    <xf numFmtId="0" fontId="10" fillId="0" borderId="5" xfId="0" applyFont="1" applyBorder="1"/>
    <xf numFmtId="0" fontId="11" fillId="0" borderId="0" xfId="0" applyFont="1" applyAlignment="1">
      <alignment horizontal="left"/>
    </xf>
    <xf numFmtId="10" fontId="0" fillId="0" borderId="0" xfId="2" applyNumberFormat="1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0" borderId="11" xfId="0" applyBorder="1"/>
    <xf numFmtId="0" fontId="0" fillId="0" borderId="27" xfId="0" applyBorder="1"/>
    <xf numFmtId="0" fontId="0" fillId="0" borderId="28" xfId="0" applyBorder="1"/>
    <xf numFmtId="0" fontId="0" fillId="0" borderId="1" xfId="0" applyBorder="1"/>
    <xf numFmtId="0" fontId="0" fillId="0" borderId="2" xfId="0" applyBorder="1"/>
    <xf numFmtId="0" fontId="6" fillId="0" borderId="7" xfId="0" applyFont="1" applyBorder="1" applyAlignment="1">
      <alignment horizontal="left"/>
    </xf>
    <xf numFmtId="164" fontId="1" fillId="0" borderId="7" xfId="1" applyBorder="1"/>
    <xf numFmtId="0" fontId="2" fillId="0" borderId="4" xfId="0" applyFont="1" applyBorder="1" applyAlignment="1">
      <alignment horizontal="left"/>
    </xf>
    <xf numFmtId="0" fontId="2" fillId="0" borderId="14" xfId="0" applyFont="1" applyBorder="1"/>
    <xf numFmtId="10" fontId="2" fillId="0" borderId="14" xfId="0" applyNumberFormat="1" applyFont="1" applyBorder="1"/>
    <xf numFmtId="164" fontId="0" fillId="0" borderId="28" xfId="1" applyFont="1" applyBorder="1"/>
    <xf numFmtId="164" fontId="0" fillId="0" borderId="28" xfId="0" applyNumberFormat="1" applyBorder="1"/>
    <xf numFmtId="10" fontId="2" fillId="0" borderId="31" xfId="0" applyNumberFormat="1" applyFont="1" applyBorder="1"/>
    <xf numFmtId="0" fontId="2" fillId="0" borderId="13" xfId="0" applyFont="1" applyBorder="1" applyAlignment="1">
      <alignment horizontal="center"/>
    </xf>
    <xf numFmtId="164" fontId="0" fillId="0" borderId="13" xfId="1" applyFont="1" applyBorder="1"/>
    <xf numFmtId="164" fontId="0" fillId="0" borderId="27" xfId="1" applyFont="1" applyBorder="1"/>
    <xf numFmtId="164" fontId="0" fillId="0" borderId="14" xfId="0" applyNumberFormat="1" applyBorder="1"/>
    <xf numFmtId="10" fontId="0" fillId="0" borderId="14" xfId="2" applyNumberFormat="1" applyFont="1" applyBorder="1"/>
    <xf numFmtId="10" fontId="2" fillId="0" borderId="14" xfId="1" applyNumberFormat="1" applyFont="1" applyBorder="1"/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9" xfId="0" applyFill="1" applyBorder="1"/>
    <xf numFmtId="0" fontId="0" fillId="2" borderId="11" xfId="0" applyFill="1" applyBorder="1"/>
    <xf numFmtId="0" fontId="0" fillId="2" borderId="29" xfId="0" applyFill="1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164" fontId="0" fillId="2" borderId="0" xfId="1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4" fontId="0" fillId="2" borderId="0" xfId="0" applyNumberFormat="1" applyFill="1" applyAlignment="1">
      <alignment vertical="center"/>
    </xf>
    <xf numFmtId="10" fontId="0" fillId="2" borderId="0" xfId="2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164" fontId="3" fillId="2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2" borderId="17" xfId="2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64" fontId="1" fillId="2" borderId="0" xfId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0" xfId="0" applyFont="1" applyBorder="1"/>
    <xf numFmtId="0" fontId="2" fillId="0" borderId="12" xfId="0" applyFont="1" applyBorder="1"/>
    <xf numFmtId="15" fontId="0" fillId="3" borderId="9" xfId="0" applyNumberFormat="1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0" fillId="3" borderId="25" xfId="0" applyNumberForma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5" fontId="0" fillId="0" borderId="11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15" fontId="0" fillId="0" borderId="28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5" fontId="0" fillId="3" borderId="9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3" borderId="9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9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workbookViewId="0">
      <selection activeCell="C12" sqref="C12"/>
    </sheetView>
  </sheetViews>
  <sheetFormatPr defaultRowHeight="14.4" x14ac:dyDescent="0.55000000000000004"/>
  <cols>
    <col min="1" max="1" width="16.578125" customWidth="1"/>
    <col min="2" max="3" width="11.578125" bestFit="1" customWidth="1"/>
    <col min="4" max="4" width="11.578125" customWidth="1"/>
    <col min="5" max="5" width="8.83984375" bestFit="1" customWidth="1"/>
    <col min="6" max="6" width="3.15625" customWidth="1"/>
    <col min="7" max="8" width="11.578125" bestFit="1" customWidth="1"/>
    <col min="9" max="9" width="11.578125" customWidth="1"/>
    <col min="10" max="10" width="8.83984375" bestFit="1" customWidth="1"/>
    <col min="11" max="11" width="3.15625" customWidth="1"/>
    <col min="12" max="13" width="11.578125" bestFit="1" customWidth="1"/>
    <col min="14" max="14" width="11.578125" customWidth="1"/>
    <col min="15" max="15" width="8.83984375" bestFit="1" customWidth="1"/>
    <col min="16" max="16" width="2.68359375" customWidth="1"/>
    <col min="17" max="18" width="11.578125" bestFit="1" customWidth="1"/>
    <col min="19" max="19" width="11.578125" customWidth="1"/>
    <col min="20" max="20" width="8.83984375" bestFit="1" customWidth="1"/>
    <col min="21" max="21" width="2.26171875" customWidth="1"/>
  </cols>
  <sheetData>
    <row r="1" spans="1:21" ht="25.8" x14ac:dyDescent="0.95">
      <c r="A1" s="111" t="s">
        <v>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"/>
    </row>
    <row r="2" spans="1:21" ht="18.3" x14ac:dyDescent="0.7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2"/>
    </row>
    <row r="3" spans="1:21" x14ac:dyDescent="0.55000000000000004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</row>
    <row r="4" spans="1:21" x14ac:dyDescent="0.55000000000000004">
      <c r="A4" s="115" t="s">
        <v>1</v>
      </c>
      <c r="B4" s="116"/>
      <c r="C4" s="117" t="str">
        <f>Contract!C4</f>
        <v xml:space="preserve"> </v>
      </c>
      <c r="D4" s="118"/>
      <c r="E4" s="118"/>
      <c r="F4" s="118"/>
      <c r="G4" s="118"/>
      <c r="H4" s="118"/>
      <c r="I4" s="118"/>
      <c r="J4" s="119"/>
      <c r="K4" s="64"/>
      <c r="L4" s="63"/>
      <c r="M4" s="63"/>
      <c r="N4" s="63"/>
      <c r="O4" s="65"/>
      <c r="P4" s="120" t="s">
        <v>6</v>
      </c>
      <c r="Q4" s="121"/>
      <c r="R4" s="122" t="str">
        <f>Contract!K4</f>
        <v xml:space="preserve"> </v>
      </c>
      <c r="S4" s="122"/>
      <c r="T4" s="122"/>
      <c r="U4" s="123"/>
    </row>
    <row r="5" spans="1:21" x14ac:dyDescent="0.55000000000000004">
      <c r="A5" s="124" t="s">
        <v>2</v>
      </c>
      <c r="B5" s="125"/>
      <c r="C5" s="117" t="str">
        <f>Contract!C5</f>
        <v xml:space="preserve"> </v>
      </c>
      <c r="D5" s="118"/>
      <c r="E5" s="118"/>
      <c r="F5" s="118"/>
      <c r="G5" s="118"/>
      <c r="H5" s="118"/>
      <c r="I5" s="118"/>
      <c r="J5" s="119"/>
      <c r="K5" s="64"/>
      <c r="L5" s="63"/>
      <c r="M5" s="63"/>
      <c r="N5" s="63"/>
      <c r="O5" s="65"/>
      <c r="P5" s="126" t="s">
        <v>7</v>
      </c>
      <c r="Q5" s="127"/>
      <c r="R5" s="128" t="str">
        <f>Contract!K5</f>
        <v xml:space="preserve"> </v>
      </c>
      <c r="S5" s="129"/>
      <c r="T5" s="129"/>
      <c r="U5" s="130"/>
    </row>
    <row r="6" spans="1:21" x14ac:dyDescent="0.55000000000000004">
      <c r="A6" s="124" t="s">
        <v>3</v>
      </c>
      <c r="B6" s="125"/>
      <c r="C6" s="117" t="str">
        <f>Contract!C6</f>
        <v xml:space="preserve"> </v>
      </c>
      <c r="D6" s="118"/>
      <c r="E6" s="118"/>
      <c r="F6" s="118"/>
      <c r="G6" s="118"/>
      <c r="H6" s="118"/>
      <c r="I6" s="118"/>
      <c r="J6" s="119"/>
      <c r="K6" s="64"/>
      <c r="L6" s="63"/>
      <c r="M6" s="63"/>
      <c r="N6" s="63"/>
      <c r="O6" s="65"/>
      <c r="P6" s="131" t="s">
        <v>27</v>
      </c>
      <c r="Q6" s="132"/>
      <c r="R6" s="133" t="str">
        <f>Contract!K6</f>
        <v xml:space="preserve"> </v>
      </c>
      <c r="S6" s="134"/>
      <c r="T6" s="134"/>
      <c r="U6" s="135"/>
    </row>
    <row r="7" spans="1:21" x14ac:dyDescent="0.55000000000000004">
      <c r="A7" s="124" t="s">
        <v>4</v>
      </c>
      <c r="B7" s="125"/>
      <c r="C7" s="117" t="str">
        <f>Contract!C7</f>
        <v xml:space="preserve"> </v>
      </c>
      <c r="D7" s="118"/>
      <c r="E7" s="118"/>
      <c r="F7" s="118"/>
      <c r="G7" s="118"/>
      <c r="H7" s="118"/>
      <c r="I7" s="118"/>
      <c r="J7" s="119"/>
      <c r="K7" s="64"/>
      <c r="L7" s="63"/>
      <c r="M7" s="63"/>
      <c r="N7" s="63"/>
      <c r="O7" s="65"/>
      <c r="P7" s="7"/>
      <c r="Q7" s="43"/>
      <c r="R7" s="139"/>
      <c r="S7" s="139"/>
      <c r="T7" s="139"/>
      <c r="U7" s="140"/>
    </row>
    <row r="8" spans="1:21" ht="14.7" thickBot="1" x14ac:dyDescent="0.6">
      <c r="A8" s="141" t="s">
        <v>5</v>
      </c>
      <c r="B8" s="142"/>
      <c r="C8" s="117" t="str">
        <f>Contract!C8</f>
        <v xml:space="preserve"> </v>
      </c>
      <c r="D8" s="118"/>
      <c r="E8" s="118"/>
      <c r="F8" s="118"/>
      <c r="G8" s="118"/>
      <c r="H8" s="118"/>
      <c r="I8" s="118"/>
      <c r="J8" s="119"/>
      <c r="K8" s="64"/>
      <c r="L8" s="63"/>
      <c r="M8" s="63"/>
      <c r="N8" s="63"/>
      <c r="O8" s="65"/>
      <c r="P8" s="44"/>
      <c r="Q8" s="45"/>
      <c r="R8" s="143"/>
      <c r="S8" s="143"/>
      <c r="T8" s="143"/>
      <c r="U8" s="144"/>
    </row>
    <row r="9" spans="1:21" ht="14.7" thickBot="1" x14ac:dyDescent="0.6">
      <c r="A9" s="12"/>
      <c r="B9" s="13"/>
      <c r="C9" s="13"/>
      <c r="D9" s="13"/>
      <c r="E9" s="13"/>
      <c r="F9" s="13"/>
      <c r="G9" s="13"/>
      <c r="H9" s="13"/>
      <c r="I9" s="13"/>
      <c r="J9" s="13"/>
      <c r="K9" s="62"/>
      <c r="L9" s="62"/>
      <c r="M9" s="62"/>
      <c r="N9" s="62"/>
      <c r="O9" s="62"/>
      <c r="P9" s="41"/>
      <c r="Q9" s="41"/>
      <c r="R9" s="41"/>
      <c r="S9" s="41"/>
      <c r="T9" s="41"/>
      <c r="U9" s="42"/>
    </row>
    <row r="10" spans="1:21" x14ac:dyDescent="0.5500000000000000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1"/>
    </row>
    <row r="11" spans="1:21" x14ac:dyDescent="0.55000000000000004">
      <c r="A11" s="3"/>
      <c r="B11" s="136" t="s">
        <v>63</v>
      </c>
      <c r="C11" s="137"/>
      <c r="D11" s="137"/>
      <c r="E11" s="138"/>
      <c r="F11" s="17"/>
      <c r="G11" s="136" t="s">
        <v>54</v>
      </c>
      <c r="H11" s="137"/>
      <c r="I11" s="137"/>
      <c r="J11" s="138"/>
      <c r="K11" s="17"/>
      <c r="L11" s="136" t="s">
        <v>64</v>
      </c>
      <c r="M11" s="137"/>
      <c r="N11" s="137"/>
      <c r="O11" s="138"/>
      <c r="P11" s="17"/>
      <c r="Q11" s="136" t="s">
        <v>55</v>
      </c>
      <c r="R11" s="137"/>
      <c r="S11" s="137"/>
      <c r="T11" s="138"/>
      <c r="U11" s="2"/>
    </row>
    <row r="12" spans="1:21" x14ac:dyDescent="0.55000000000000004">
      <c r="A12" s="3"/>
      <c r="B12" s="56" t="s">
        <v>13</v>
      </c>
      <c r="C12" s="17" t="s">
        <v>14</v>
      </c>
      <c r="D12" s="17" t="s">
        <v>56</v>
      </c>
      <c r="E12" s="51" t="s">
        <v>53</v>
      </c>
      <c r="G12" s="56" t="s">
        <v>13</v>
      </c>
      <c r="H12" s="17" t="s">
        <v>14</v>
      </c>
      <c r="I12" s="17" t="s">
        <v>56</v>
      </c>
      <c r="J12" s="51" t="s">
        <v>53</v>
      </c>
      <c r="L12" s="56" t="s">
        <v>13</v>
      </c>
      <c r="M12" s="17" t="s">
        <v>14</v>
      </c>
      <c r="N12" s="17" t="s">
        <v>56</v>
      </c>
      <c r="O12" s="51" t="s">
        <v>53</v>
      </c>
      <c r="Q12" s="56" t="s">
        <v>13</v>
      </c>
      <c r="R12" s="17" t="s">
        <v>14</v>
      </c>
      <c r="S12" s="17" t="s">
        <v>56</v>
      </c>
      <c r="T12" s="51" t="s">
        <v>53</v>
      </c>
      <c r="U12" s="2"/>
    </row>
    <row r="13" spans="1:21" x14ac:dyDescent="0.55000000000000004">
      <c r="A13" s="3"/>
      <c r="B13" s="56"/>
      <c r="E13" s="51"/>
      <c r="G13" s="57"/>
      <c r="H13" s="31"/>
      <c r="J13" s="59"/>
      <c r="L13" s="57"/>
      <c r="M13" s="31"/>
      <c r="O13" s="59"/>
      <c r="Q13" s="28"/>
      <c r="T13" s="60"/>
      <c r="U13" s="2"/>
    </row>
    <row r="14" spans="1:21" x14ac:dyDescent="0.55000000000000004">
      <c r="A14" s="50" t="s">
        <v>62</v>
      </c>
      <c r="B14" s="57">
        <f>Contract!$D28+Contract!$D36</f>
        <v>449900</v>
      </c>
      <c r="C14" s="19">
        <f>Contract!$H28+Contract!$H36</f>
        <v>0</v>
      </c>
      <c r="D14" s="19">
        <f>B14-C14</f>
        <v>449900</v>
      </c>
      <c r="E14" s="61">
        <f>Contract!$L28</f>
        <v>1</v>
      </c>
      <c r="G14" s="57">
        <f>Lockdown!$D30+Lockdown!$D38</f>
        <v>449900</v>
      </c>
      <c r="H14" s="19">
        <f>Lockdown!$H30+Lockdown!$H38</f>
        <v>20438.169569999998</v>
      </c>
      <c r="I14" s="19">
        <f>G14-H14</f>
        <v>429461.83042999997</v>
      </c>
      <c r="J14" s="61">
        <f>Lockdown!$L30</f>
        <v>0.95457175023338514</v>
      </c>
      <c r="L14" s="57">
        <f>+'Selection Completion'!D30+'Selection Completion'!D38</f>
        <v>449900</v>
      </c>
      <c r="M14" s="19">
        <f>+'Selection Completion'!H30+'Selection Completion'!H38</f>
        <v>19437.669569999998</v>
      </c>
      <c r="N14" s="19">
        <f>L14-M14</f>
        <v>430462.33042999997</v>
      </c>
      <c r="O14" s="61">
        <f>+'Selection Completion'!L30</f>
        <v>0.95679557775061119</v>
      </c>
      <c r="Q14" s="57">
        <f>Closing!$D30+Closing!$D38</f>
        <v>449900</v>
      </c>
      <c r="R14" s="19">
        <f>Closing!$H30+Closing!$H38</f>
        <v>20435.135342999998</v>
      </c>
      <c r="S14" s="19">
        <f>Q14-R14</f>
        <v>429464.864657</v>
      </c>
      <c r="T14" s="61">
        <f>Closing!$L30</f>
        <v>0.95457849445876863</v>
      </c>
      <c r="U14" s="2"/>
    </row>
    <row r="15" spans="1:21" x14ac:dyDescent="0.55000000000000004">
      <c r="A15" s="50" t="s">
        <v>68</v>
      </c>
      <c r="B15" s="57">
        <f>Contract!D30+Contract!D31+Contract!D32+Contract!D34</f>
        <v>157860.57999999999</v>
      </c>
      <c r="C15" s="19">
        <f>Contract!H30+Contract!H31+Contract!H32+Contract!H34</f>
        <v>105934.43</v>
      </c>
      <c r="D15" s="19">
        <f>B15-C15</f>
        <v>51926.149999999994</v>
      </c>
      <c r="E15" s="61">
        <f>D15/B15</f>
        <v>0.32893677446263025</v>
      </c>
      <c r="G15" s="57">
        <f>Lockdown!D32+Lockdown!D33+Lockdown!D34</f>
        <v>136529.79999999999</v>
      </c>
      <c r="H15" s="19">
        <f>Lockdown!H32+Lockdown!H33+Lockdown!H34</f>
        <v>105934.43</v>
      </c>
      <c r="I15" s="19">
        <f>G15-H15</f>
        <v>30595.369999999995</v>
      </c>
      <c r="J15" s="61">
        <f>I15/G15</f>
        <v>0.22409298189845731</v>
      </c>
      <c r="L15" s="57">
        <f>'Selection Completion'!D32+'Selection Completion'!D33+'Selection Completion'!D34</f>
        <v>136529.79999999999</v>
      </c>
      <c r="M15" s="19">
        <f>'Selection Completion'!H32+'Selection Completion'!H33+'Selection Completion'!H34</f>
        <v>105934.43</v>
      </c>
      <c r="N15" s="19">
        <f>L15-M15</f>
        <v>30595.369999999995</v>
      </c>
      <c r="O15" s="61">
        <f>N15/L15</f>
        <v>0.22409298189845731</v>
      </c>
      <c r="Q15" s="57">
        <f>Closing!D32+Closing!D33+Closing!D34</f>
        <v>127860.57999999999</v>
      </c>
      <c r="R15" s="19">
        <f>Closing!H32+Closing!H33+Closing!H34</f>
        <v>105934.43</v>
      </c>
      <c r="S15" s="19">
        <f t="shared" ref="S15" si="0">Q15-R15</f>
        <v>21926.149999999994</v>
      </c>
      <c r="T15" s="52">
        <f>(Q15-R15)/Q15</f>
        <v>0.17148483136866732</v>
      </c>
      <c r="U15" s="2"/>
    </row>
    <row r="16" spans="1:21" x14ac:dyDescent="0.55000000000000004">
      <c r="A16" s="50" t="s">
        <v>69</v>
      </c>
      <c r="B16" s="57"/>
      <c r="C16" s="19"/>
      <c r="D16" s="19"/>
      <c r="E16" s="52"/>
      <c r="G16" s="57"/>
      <c r="H16" s="19"/>
      <c r="I16" s="19"/>
      <c r="J16" s="52"/>
      <c r="L16" s="57">
        <f>'Selection Completion'!D35+'Selection Completion'!D36</f>
        <v>0</v>
      </c>
      <c r="M16" s="19">
        <f>'Selection Completion'!H35+'Selection Completion'!H36</f>
        <v>0</v>
      </c>
      <c r="N16" s="19">
        <f>L16-M16</f>
        <v>0</v>
      </c>
      <c r="O16" s="61" t="e">
        <f>N16/L16</f>
        <v>#DIV/0!</v>
      </c>
      <c r="Q16" s="57">
        <f>Closing!D35+Closing!D36</f>
        <v>30000</v>
      </c>
      <c r="R16" s="19">
        <f>Closing!H35+Closing!H36</f>
        <v>0</v>
      </c>
      <c r="S16" s="19">
        <f t="shared" ref="S16:S19" si="1">Q16-R16</f>
        <v>30000</v>
      </c>
      <c r="T16" s="52">
        <f>(Q16-R16)/Q16</f>
        <v>1</v>
      </c>
      <c r="U16" s="2"/>
    </row>
    <row r="17" spans="1:21" x14ac:dyDescent="0.55000000000000004">
      <c r="A17" s="50" t="s">
        <v>52</v>
      </c>
      <c r="B17" s="57">
        <f>Contract!D35</f>
        <v>0</v>
      </c>
      <c r="C17" s="19">
        <f>Contract!$H35</f>
        <v>0</v>
      </c>
      <c r="D17" s="19">
        <f t="shared" ref="D17:D19" si="2">B17-C17</f>
        <v>0</v>
      </c>
      <c r="E17" s="52">
        <f>Contract!$L35</f>
        <v>0</v>
      </c>
      <c r="F17" s="19"/>
      <c r="G17" s="57">
        <f>Lockdown!D37</f>
        <v>0</v>
      </c>
      <c r="H17" s="19">
        <f>Lockdown!$H37</f>
        <v>0</v>
      </c>
      <c r="I17" s="19">
        <f t="shared" ref="I17:I19" si="3">G17-H17</f>
        <v>0</v>
      </c>
      <c r="J17" s="52">
        <f>Lockdown!$L37</f>
        <v>0</v>
      </c>
      <c r="K17" s="19"/>
      <c r="L17" s="57">
        <f>'Selection Completion'!D37</f>
        <v>0</v>
      </c>
      <c r="M17" s="19">
        <f>'Selection Completion'!H37</f>
        <v>0</v>
      </c>
      <c r="N17" s="19">
        <f t="shared" ref="N17" si="4">L17-M17</f>
        <v>0</v>
      </c>
      <c r="O17" s="52">
        <f>'Selection Completion'!L37</f>
        <v>0</v>
      </c>
      <c r="Q17" s="57">
        <f>Closing!D37</f>
        <v>0</v>
      </c>
      <c r="R17" s="19">
        <f>Closing!$H37</f>
        <v>0</v>
      </c>
      <c r="S17" s="19">
        <f t="shared" si="1"/>
        <v>0</v>
      </c>
      <c r="T17" s="52">
        <f>Closing!$L37</f>
        <v>0</v>
      </c>
      <c r="U17" s="2"/>
    </row>
    <row r="18" spans="1:21" x14ac:dyDescent="0.55000000000000004">
      <c r="A18" s="3"/>
      <c r="B18" s="57"/>
      <c r="E18" s="51"/>
      <c r="F18" s="19"/>
      <c r="G18" s="57"/>
      <c r="J18" s="29"/>
      <c r="K18" s="19"/>
      <c r="L18" s="57"/>
      <c r="O18" s="29"/>
      <c r="Q18" s="28"/>
      <c r="T18" s="29"/>
      <c r="U18" s="2"/>
    </row>
    <row r="19" spans="1:21" x14ac:dyDescent="0.55000000000000004">
      <c r="A19" s="50" t="s">
        <v>42</v>
      </c>
      <c r="B19" s="58">
        <f>Contract!$D41</f>
        <v>607760.57999999996</v>
      </c>
      <c r="C19" s="54">
        <f>Contract!$H41</f>
        <v>105934.43</v>
      </c>
      <c r="D19" s="53">
        <f t="shared" si="2"/>
        <v>501826.14999999997</v>
      </c>
      <c r="E19" s="55">
        <f>Contract!$L41</f>
        <v>0.82569710263209239</v>
      </c>
      <c r="F19" s="19"/>
      <c r="G19" s="58">
        <f>Lockdown!$D43</f>
        <v>616429.79999999993</v>
      </c>
      <c r="H19" s="54">
        <f>Lockdown!$H43</f>
        <v>126372.59956999999</v>
      </c>
      <c r="I19" s="53">
        <f t="shared" si="3"/>
        <v>490057.20042999997</v>
      </c>
      <c r="J19" s="55">
        <f>Lockdown!$L43</f>
        <v>0.79499271519644255</v>
      </c>
      <c r="K19" s="19"/>
      <c r="L19" s="58">
        <f>+'Selection Completion'!D43</f>
        <v>586429.79999999993</v>
      </c>
      <c r="M19" s="54">
        <f>+'Selection Completion'!H43</f>
        <v>125372.09956999999</v>
      </c>
      <c r="N19" s="53">
        <f t="shared" ref="N19" si="5">L19-M19</f>
        <v>461057.70042999997</v>
      </c>
      <c r="O19" s="55">
        <f>+'Selection Completion'!L43</f>
        <v>0.78621124033942347</v>
      </c>
      <c r="Q19" s="58">
        <f>Closing!$D43</f>
        <v>607760.57999999996</v>
      </c>
      <c r="R19" s="54">
        <f>Closing!$H43</f>
        <v>126369.56534299999</v>
      </c>
      <c r="S19" s="53">
        <f t="shared" si="1"/>
        <v>481391.01465699996</v>
      </c>
      <c r="T19" s="55">
        <f>Closing!$L43</f>
        <v>0.79207344223773113</v>
      </c>
      <c r="U19" s="2"/>
    </row>
    <row r="20" spans="1:21" x14ac:dyDescent="0.55000000000000004">
      <c r="A20" s="3"/>
      <c r="B20" s="16"/>
      <c r="E20" s="19"/>
      <c r="G20" s="16"/>
      <c r="H20" s="19"/>
      <c r="I20" s="19"/>
      <c r="J20" s="19"/>
      <c r="L20" s="16"/>
      <c r="M20" s="19"/>
      <c r="N20" s="19"/>
      <c r="O20" s="19"/>
      <c r="U20" s="2"/>
    </row>
    <row r="21" spans="1:21" x14ac:dyDescent="0.55000000000000004">
      <c r="A21" s="3"/>
      <c r="B21" s="16"/>
      <c r="E21" s="19"/>
      <c r="G21" s="16"/>
      <c r="H21" s="19"/>
      <c r="I21" s="19"/>
      <c r="J21" s="19"/>
      <c r="L21" s="16"/>
      <c r="M21" s="19"/>
      <c r="N21" s="19"/>
      <c r="O21" s="19"/>
      <c r="U21" s="2"/>
    </row>
    <row r="22" spans="1:21" x14ac:dyDescent="0.55000000000000004">
      <c r="A22" s="3"/>
      <c r="B22" s="16"/>
      <c r="E22" s="19"/>
      <c r="G22" s="16"/>
      <c r="H22" s="19"/>
      <c r="I22" s="19"/>
      <c r="J22" s="19"/>
      <c r="L22" s="16"/>
      <c r="M22" s="19"/>
      <c r="N22" s="19"/>
      <c r="O22" s="19"/>
      <c r="U22" s="2"/>
    </row>
    <row r="23" spans="1:21" ht="18.600000000000001" thickBot="1" x14ac:dyDescent="0.75">
      <c r="A23" s="4"/>
      <c r="B23" s="48"/>
      <c r="C23" s="48"/>
      <c r="D23" s="48"/>
      <c r="E23" s="4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</row>
  </sheetData>
  <mergeCells count="24">
    <mergeCell ref="B11:E11"/>
    <mergeCell ref="G11:J11"/>
    <mergeCell ref="Q11:T11"/>
    <mergeCell ref="A7:B7"/>
    <mergeCell ref="C7:J7"/>
    <mergeCell ref="R7:U7"/>
    <mergeCell ref="A8:B8"/>
    <mergeCell ref="C8:J8"/>
    <mergeCell ref="R8:U8"/>
    <mergeCell ref="L11:O11"/>
    <mergeCell ref="A5:B5"/>
    <mergeCell ref="C5:J5"/>
    <mergeCell ref="P5:Q5"/>
    <mergeCell ref="R5:U5"/>
    <mergeCell ref="A6:B6"/>
    <mergeCell ref="C6:J6"/>
    <mergeCell ref="P6:Q6"/>
    <mergeCell ref="R6:U6"/>
    <mergeCell ref="A1:T1"/>
    <mergeCell ref="A2:T2"/>
    <mergeCell ref="A4:B4"/>
    <mergeCell ref="C4:J4"/>
    <mergeCell ref="P4:Q4"/>
    <mergeCell ref="R4:U4"/>
  </mergeCells>
  <dataValidations disablePrompts="1" count="2">
    <dataValidation type="list" allowBlank="1" showInputMessage="1" showErrorMessage="1" sqref="R5:U5" xr:uid="{00000000-0002-0000-0000-000000000000}">
      <formula1>Areas</formula1>
    </dataValidation>
    <dataValidation type="list" allowBlank="1" showInputMessage="1" showErrorMessage="1" sqref="R8:U8" xr:uid="{00000000-0002-0000-0000-000001000000}">
      <formula1>Estimators</formula1>
    </dataValidation>
  </dataValidations>
  <pageMargins left="0.70866141732283472" right="0.70866141732283472" top="0.74803149606299213" bottom="0.74803149606299213" header="0.31496062992125984" footer="0.31496062992125984"/>
  <pageSetup scale="78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M45"/>
  <sheetViews>
    <sheetView zoomScaleNormal="100" workbookViewId="0">
      <selection activeCell="A2" sqref="A2:L2"/>
    </sheetView>
  </sheetViews>
  <sheetFormatPr defaultColWidth="9.15625" defaultRowHeight="14.4" x14ac:dyDescent="0.55000000000000004"/>
  <cols>
    <col min="1" max="1" width="4.68359375" style="70" customWidth="1"/>
    <col min="2" max="2" width="13.15625" style="70" customWidth="1"/>
    <col min="3" max="3" width="16.15625" style="70" customWidth="1"/>
    <col min="4" max="4" width="14.15625" style="70" customWidth="1"/>
    <col min="5" max="5" width="8" style="70" customWidth="1"/>
    <col min="6" max="6" width="21.578125" style="70" customWidth="1"/>
    <col min="7" max="7" width="13.41796875" style="70" customWidth="1"/>
    <col min="8" max="8" width="12.83984375" style="70" customWidth="1"/>
    <col min="9" max="9" width="8" style="70" customWidth="1"/>
    <col min="10" max="10" width="12.83984375" style="70" customWidth="1"/>
    <col min="11" max="11" width="5.578125" style="70" customWidth="1"/>
    <col min="12" max="16384" width="9.15625" style="70"/>
  </cols>
  <sheetData>
    <row r="1" spans="1:13" ht="25.8" x14ac:dyDescent="0.55000000000000004">
      <c r="A1" s="155" t="str">
        <f>Summary!A1</f>
        <v>Company Name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69"/>
    </row>
    <row r="2" spans="1:13" ht="18.3" x14ac:dyDescent="0.55000000000000004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71"/>
    </row>
    <row r="3" spans="1:13" x14ac:dyDescent="0.55000000000000004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x14ac:dyDescent="0.55000000000000004">
      <c r="A4" s="161" t="s">
        <v>1</v>
      </c>
      <c r="B4" s="162"/>
      <c r="C4" s="163" t="s">
        <v>75</v>
      </c>
      <c r="D4" s="164"/>
      <c r="E4" s="164"/>
      <c r="F4" s="164"/>
      <c r="G4" s="164"/>
      <c r="H4" s="165"/>
      <c r="I4" s="75" t="s">
        <v>6</v>
      </c>
      <c r="J4" s="76"/>
      <c r="K4" s="147" t="s">
        <v>75</v>
      </c>
      <c r="L4" s="148"/>
      <c r="M4" s="149"/>
    </row>
    <row r="5" spans="1:13" x14ac:dyDescent="0.55000000000000004">
      <c r="A5" s="151" t="s">
        <v>2</v>
      </c>
      <c r="B5" s="152"/>
      <c r="C5" s="163" t="s">
        <v>75</v>
      </c>
      <c r="D5" s="164"/>
      <c r="E5" s="164"/>
      <c r="F5" s="164"/>
      <c r="G5" s="164"/>
      <c r="H5" s="165"/>
      <c r="I5" s="77" t="s">
        <v>7</v>
      </c>
      <c r="J5" s="78"/>
      <c r="K5" s="147" t="s">
        <v>75</v>
      </c>
      <c r="L5" s="148"/>
      <c r="M5" s="149"/>
    </row>
    <row r="6" spans="1:13" x14ac:dyDescent="0.55000000000000004">
      <c r="A6" s="151" t="s">
        <v>3</v>
      </c>
      <c r="B6" s="152"/>
      <c r="C6" s="163" t="s">
        <v>75</v>
      </c>
      <c r="D6" s="164"/>
      <c r="E6" s="164"/>
      <c r="F6" s="164"/>
      <c r="G6" s="164"/>
      <c r="H6" s="165"/>
      <c r="I6" s="159" t="s">
        <v>27</v>
      </c>
      <c r="J6" s="160"/>
      <c r="K6" s="147" t="s">
        <v>75</v>
      </c>
      <c r="L6" s="148"/>
      <c r="M6" s="149"/>
    </row>
    <row r="7" spans="1:13" x14ac:dyDescent="0.55000000000000004">
      <c r="A7" s="151" t="s">
        <v>4</v>
      </c>
      <c r="B7" s="152"/>
      <c r="C7" s="163" t="s">
        <v>75</v>
      </c>
      <c r="D7" s="164"/>
      <c r="E7" s="164"/>
      <c r="F7" s="164"/>
      <c r="G7" s="164"/>
      <c r="H7" s="165"/>
      <c r="I7" s="77" t="s">
        <v>29</v>
      </c>
      <c r="J7" s="78"/>
      <c r="K7" s="147" t="s">
        <v>75</v>
      </c>
      <c r="L7" s="148"/>
      <c r="M7" s="149"/>
    </row>
    <row r="8" spans="1:13" ht="14.7" thickBot="1" x14ac:dyDescent="0.6">
      <c r="A8" s="153" t="s">
        <v>5</v>
      </c>
      <c r="B8" s="154"/>
      <c r="C8" s="163" t="s">
        <v>75</v>
      </c>
      <c r="D8" s="164"/>
      <c r="E8" s="164"/>
      <c r="F8" s="164"/>
      <c r="G8" s="164"/>
      <c r="H8" s="165"/>
      <c r="I8" s="166" t="s">
        <v>46</v>
      </c>
      <c r="J8" s="167"/>
      <c r="K8" s="147" t="s">
        <v>75</v>
      </c>
      <c r="L8" s="148"/>
      <c r="M8" s="149"/>
    </row>
    <row r="9" spans="1:13" ht="14.7" thickBot="1" x14ac:dyDescent="0.6">
      <c r="A9" s="79"/>
      <c r="B9" s="80"/>
      <c r="C9" s="80"/>
      <c r="D9" s="80"/>
      <c r="E9" s="80"/>
      <c r="F9" s="80"/>
      <c r="G9" s="80"/>
      <c r="H9" s="80"/>
      <c r="I9" s="81"/>
      <c r="J9" s="81"/>
      <c r="K9" s="81"/>
      <c r="L9" s="81"/>
      <c r="M9" s="82"/>
    </row>
    <row r="10" spans="1:13" x14ac:dyDescent="0.55000000000000004">
      <c r="A10" s="83"/>
      <c r="M10" s="71"/>
    </row>
    <row r="11" spans="1:13" x14ac:dyDescent="0.55000000000000004">
      <c r="A11" s="83"/>
      <c r="D11" s="84" t="s">
        <v>13</v>
      </c>
      <c r="E11" s="84"/>
      <c r="F11" s="84"/>
      <c r="G11" s="84"/>
      <c r="H11" s="84" t="s">
        <v>14</v>
      </c>
      <c r="I11" s="84"/>
      <c r="J11" s="84" t="s">
        <v>19</v>
      </c>
      <c r="K11" s="84"/>
      <c r="L11" s="84" t="s">
        <v>20</v>
      </c>
      <c r="M11" s="71"/>
    </row>
    <row r="12" spans="1:13" x14ac:dyDescent="0.55000000000000004">
      <c r="A12" s="83"/>
      <c r="D12" s="84"/>
      <c r="E12" s="84"/>
      <c r="F12" s="84"/>
      <c r="G12" s="84"/>
      <c r="H12" s="84"/>
      <c r="I12" s="84"/>
      <c r="J12" s="84"/>
      <c r="K12" s="84"/>
      <c r="L12" s="84"/>
      <c r="M12" s="71"/>
    </row>
    <row r="13" spans="1:13" x14ac:dyDescent="0.55000000000000004">
      <c r="A13" s="83"/>
      <c r="B13" s="145" t="s">
        <v>15</v>
      </c>
      <c r="C13" s="145"/>
      <c r="D13" s="85">
        <v>449900</v>
      </c>
      <c r="F13" s="86" t="s">
        <v>65</v>
      </c>
      <c r="H13" s="87">
        <v>0</v>
      </c>
      <c r="I13" s="88" t="e">
        <f>H13/C8</f>
        <v>#VALUE!</v>
      </c>
      <c r="J13" s="89">
        <f>+D13-H13</f>
        <v>449900</v>
      </c>
      <c r="L13" s="90">
        <f>IF(D13=0,0,+J13/D13)</f>
        <v>1</v>
      </c>
      <c r="M13" s="71"/>
    </row>
    <row r="14" spans="1:13" x14ac:dyDescent="0.55000000000000004">
      <c r="A14" s="83"/>
      <c r="B14" s="91"/>
      <c r="C14" s="91"/>
      <c r="D14" s="92"/>
      <c r="F14" s="86"/>
      <c r="I14" s="88"/>
      <c r="J14" s="93"/>
      <c r="L14" s="94"/>
      <c r="M14" s="71"/>
    </row>
    <row r="15" spans="1:13" x14ac:dyDescent="0.55000000000000004">
      <c r="A15" s="83"/>
      <c r="B15" s="70" t="s">
        <v>17</v>
      </c>
      <c r="D15" s="92"/>
      <c r="F15" s="86" t="s">
        <v>8</v>
      </c>
      <c r="H15" s="92"/>
      <c r="M15" s="71"/>
    </row>
    <row r="16" spans="1:13" x14ac:dyDescent="0.55000000000000004">
      <c r="A16" s="83"/>
      <c r="B16" s="86" t="s">
        <v>30</v>
      </c>
      <c r="C16" s="70" t="s">
        <v>37</v>
      </c>
      <c r="D16" s="85">
        <v>1000</v>
      </c>
      <c r="F16" s="86" t="s">
        <v>22</v>
      </c>
      <c r="G16" s="85">
        <v>0</v>
      </c>
      <c r="H16" s="92"/>
      <c r="M16" s="71"/>
    </row>
    <row r="17" spans="1:13" x14ac:dyDescent="0.55000000000000004">
      <c r="A17" s="83"/>
      <c r="B17" s="86" t="s">
        <v>31</v>
      </c>
      <c r="C17" s="70" t="s">
        <v>72</v>
      </c>
      <c r="D17" s="85">
        <v>134500</v>
      </c>
      <c r="F17" s="86" t="s">
        <v>23</v>
      </c>
      <c r="G17" s="85">
        <v>0</v>
      </c>
      <c r="H17" s="92"/>
      <c r="M17" s="71"/>
    </row>
    <row r="18" spans="1:13" x14ac:dyDescent="0.55000000000000004">
      <c r="A18" s="83"/>
      <c r="B18" s="86" t="s">
        <v>32</v>
      </c>
      <c r="C18" s="70" t="s">
        <v>73</v>
      </c>
      <c r="D18" s="85">
        <v>7000</v>
      </c>
      <c r="F18" s="86" t="s">
        <v>45</v>
      </c>
      <c r="G18" s="85">
        <v>0</v>
      </c>
      <c r="H18" s="92"/>
      <c r="M18" s="71"/>
    </row>
    <row r="19" spans="1:13" x14ac:dyDescent="0.55000000000000004">
      <c r="A19" s="83"/>
      <c r="B19" s="86" t="s">
        <v>33</v>
      </c>
      <c r="C19" s="70" t="s">
        <v>73</v>
      </c>
      <c r="D19" s="85">
        <v>38700</v>
      </c>
      <c r="F19" s="86" t="s">
        <v>71</v>
      </c>
      <c r="G19" s="85">
        <v>0</v>
      </c>
      <c r="H19" s="92"/>
      <c r="M19" s="71"/>
    </row>
    <row r="20" spans="1:13" x14ac:dyDescent="0.55000000000000004">
      <c r="A20" s="83"/>
      <c r="B20" s="86" t="s">
        <v>40</v>
      </c>
      <c r="D20" s="85">
        <v>0</v>
      </c>
      <c r="F20" s="86" t="s">
        <v>70</v>
      </c>
      <c r="G20" s="85">
        <v>0</v>
      </c>
      <c r="H20" s="92"/>
      <c r="M20" s="71"/>
    </row>
    <row r="21" spans="1:13" x14ac:dyDescent="0.55000000000000004">
      <c r="A21" s="83"/>
      <c r="B21" s="86" t="s">
        <v>34</v>
      </c>
      <c r="D21" s="85">
        <f>D43-SUM(D16:D20)</f>
        <v>456948.60899999994</v>
      </c>
      <c r="F21" s="86" t="s">
        <v>24</v>
      </c>
      <c r="G21" s="87">
        <v>0</v>
      </c>
      <c r="H21" s="92"/>
      <c r="M21" s="71"/>
    </row>
    <row r="22" spans="1:13" x14ac:dyDescent="0.55000000000000004">
      <c r="A22" s="83"/>
      <c r="B22" s="86"/>
      <c r="D22" s="92"/>
      <c r="F22" s="86" t="s">
        <v>58</v>
      </c>
      <c r="G22" s="85">
        <v>0</v>
      </c>
      <c r="H22" s="92"/>
      <c r="M22" s="71"/>
    </row>
    <row r="23" spans="1:13" x14ac:dyDescent="0.55000000000000004">
      <c r="A23" s="83"/>
      <c r="D23" s="92"/>
      <c r="F23" s="86" t="s">
        <v>25</v>
      </c>
      <c r="G23" s="85">
        <v>0</v>
      </c>
      <c r="H23" s="92"/>
      <c r="M23" s="71"/>
    </row>
    <row r="24" spans="1:13" x14ac:dyDescent="0.55000000000000004">
      <c r="A24" s="83"/>
      <c r="D24" s="92"/>
      <c r="F24" s="86" t="s">
        <v>26</v>
      </c>
      <c r="G24" s="85">
        <v>0</v>
      </c>
      <c r="H24" s="92"/>
      <c r="M24" s="71"/>
    </row>
    <row r="25" spans="1:13" x14ac:dyDescent="0.55000000000000004">
      <c r="A25" s="83"/>
      <c r="D25" s="92"/>
      <c r="F25" s="86" t="s">
        <v>44</v>
      </c>
      <c r="G25" s="85">
        <v>0</v>
      </c>
      <c r="H25" s="92"/>
      <c r="M25" s="71"/>
    </row>
    <row r="26" spans="1:13" x14ac:dyDescent="0.55000000000000004">
      <c r="A26" s="83"/>
      <c r="D26" s="92"/>
      <c r="F26" s="86" t="s">
        <v>21</v>
      </c>
      <c r="H26" s="87">
        <f>SUM(G16:G25)</f>
        <v>0</v>
      </c>
      <c r="M26" s="71"/>
    </row>
    <row r="27" spans="1:13" x14ac:dyDescent="0.55000000000000004">
      <c r="A27" s="95"/>
      <c r="B27" s="96"/>
      <c r="C27" s="96"/>
      <c r="D27" s="97"/>
      <c r="E27" s="96"/>
      <c r="F27" s="98"/>
      <c r="G27" s="96"/>
      <c r="H27" s="96"/>
      <c r="I27" s="96"/>
      <c r="J27" s="96"/>
      <c r="K27" s="96"/>
      <c r="L27" s="96"/>
      <c r="M27" s="99"/>
    </row>
    <row r="28" spans="1:13" x14ac:dyDescent="0.55000000000000004">
      <c r="A28" s="83"/>
      <c r="B28" s="86" t="s">
        <v>51</v>
      </c>
      <c r="D28" s="87">
        <f>D13</f>
        <v>449900</v>
      </c>
      <c r="E28" s="88" t="e">
        <f>D28/C8</f>
        <v>#VALUE!</v>
      </c>
      <c r="H28" s="87">
        <f>H13+H26</f>
        <v>0</v>
      </c>
      <c r="I28" s="88" t="e">
        <f>H28/C8</f>
        <v>#VALUE!</v>
      </c>
      <c r="J28" s="89">
        <f>+D28-H28</f>
        <v>449900</v>
      </c>
      <c r="L28" s="90">
        <f>IF(D28=0,0,+J28/D28)</f>
        <v>1</v>
      </c>
      <c r="M28" s="71"/>
    </row>
    <row r="29" spans="1:13" x14ac:dyDescent="0.55000000000000004">
      <c r="A29" s="95"/>
      <c r="B29" s="96"/>
      <c r="C29" s="96"/>
      <c r="D29" s="97"/>
      <c r="E29" s="96"/>
      <c r="F29" s="96"/>
      <c r="G29" s="96"/>
      <c r="H29" s="97"/>
      <c r="I29" s="96"/>
      <c r="J29" s="96"/>
      <c r="K29" s="96"/>
      <c r="L29" s="96"/>
      <c r="M29" s="99"/>
    </row>
    <row r="30" spans="1:13" x14ac:dyDescent="0.55000000000000004">
      <c r="A30" s="83"/>
      <c r="B30" s="145" t="s">
        <v>28</v>
      </c>
      <c r="C30" s="145"/>
      <c r="D30" s="85">
        <f>132900.58-D32</f>
        <v>80683.12</v>
      </c>
      <c r="H30" s="87">
        <f>105934.43-H32</f>
        <v>105934.43</v>
      </c>
      <c r="J30" s="89">
        <f>+D30-H30</f>
        <v>-25251.309999999998</v>
      </c>
      <c r="L30" s="90">
        <f>IF(D30=0,0,+J30/D30)</f>
        <v>-0.31296893327873287</v>
      </c>
      <c r="M30" s="71"/>
    </row>
    <row r="31" spans="1:13" x14ac:dyDescent="0.55000000000000004">
      <c r="A31" s="83"/>
      <c r="B31" s="145" t="s">
        <v>49</v>
      </c>
      <c r="C31" s="145"/>
      <c r="D31" s="85">
        <v>-5040</v>
      </c>
      <c r="G31" s="100" t="s">
        <v>74</v>
      </c>
      <c r="H31" s="87">
        <v>0</v>
      </c>
      <c r="J31" s="89">
        <f>+D31-H31</f>
        <v>-5040</v>
      </c>
      <c r="L31" s="90">
        <f t="shared" ref="L31" si="0">IF(D31=0,0,+J31/D31)</f>
        <v>1</v>
      </c>
      <c r="M31" s="71"/>
    </row>
    <row r="32" spans="1:13" x14ac:dyDescent="0.55000000000000004">
      <c r="A32" s="83"/>
      <c r="B32" s="145" t="s">
        <v>16</v>
      </c>
      <c r="C32" s="145"/>
      <c r="D32" s="85">
        <v>52217.46</v>
      </c>
      <c r="H32" s="87">
        <v>0</v>
      </c>
      <c r="J32" s="89">
        <f>+D32-H32</f>
        <v>52217.46</v>
      </c>
      <c r="L32" s="90">
        <f t="shared" ref="L32:L37" si="1">IF(D32=0,0,+J32/D32)</f>
        <v>1</v>
      </c>
      <c r="M32" s="71"/>
    </row>
    <row r="33" spans="1:13" x14ac:dyDescent="0.55000000000000004">
      <c r="A33" s="83"/>
      <c r="B33" s="145" t="s">
        <v>60</v>
      </c>
      <c r="C33" s="145"/>
      <c r="D33" s="85"/>
      <c r="H33" s="87">
        <f>+D33*0.7</f>
        <v>0</v>
      </c>
      <c r="J33" s="89">
        <f>+D33-H33</f>
        <v>0</v>
      </c>
      <c r="L33" s="90">
        <f t="shared" si="1"/>
        <v>0</v>
      </c>
      <c r="M33" s="71"/>
    </row>
    <row r="34" spans="1:13" x14ac:dyDescent="0.55000000000000004">
      <c r="A34" s="83"/>
      <c r="B34" s="145" t="s">
        <v>59</v>
      </c>
      <c r="C34" s="145"/>
      <c r="D34" s="85">
        <v>30000</v>
      </c>
      <c r="H34" s="87">
        <v>0</v>
      </c>
      <c r="J34" s="89">
        <f t="shared" ref="J34:J37" si="2">+D34-H34</f>
        <v>30000</v>
      </c>
      <c r="L34" s="90">
        <f t="shared" si="1"/>
        <v>1</v>
      </c>
      <c r="M34" s="71"/>
    </row>
    <row r="35" spans="1:13" x14ac:dyDescent="0.55000000000000004">
      <c r="A35" s="83"/>
      <c r="B35" s="145" t="s">
        <v>9</v>
      </c>
      <c r="C35" s="145"/>
      <c r="D35" s="85">
        <v>0</v>
      </c>
      <c r="H35" s="85">
        <f>D35</f>
        <v>0</v>
      </c>
      <c r="J35" s="89">
        <f t="shared" si="2"/>
        <v>0</v>
      </c>
      <c r="L35" s="90">
        <f t="shared" si="1"/>
        <v>0</v>
      </c>
      <c r="M35" s="71"/>
    </row>
    <row r="36" spans="1:13" ht="14.7" thickBot="1" x14ac:dyDescent="0.6">
      <c r="A36" s="83"/>
      <c r="B36" s="86" t="s">
        <v>39</v>
      </c>
      <c r="C36" s="86"/>
      <c r="D36" s="85">
        <v>0</v>
      </c>
      <c r="H36" s="85">
        <v>0</v>
      </c>
      <c r="J36" s="89">
        <f t="shared" ref="J36" si="3">+D36-H36</f>
        <v>0</v>
      </c>
      <c r="L36" s="90">
        <f t="shared" ref="L36" si="4">IF(D36=0,0,+J36/D36)</f>
        <v>0</v>
      </c>
      <c r="M36" s="71"/>
    </row>
    <row r="37" spans="1:13" ht="15.9" thickBot="1" x14ac:dyDescent="0.6">
      <c r="A37" s="83"/>
      <c r="B37" s="146" t="s">
        <v>10</v>
      </c>
      <c r="C37" s="146"/>
      <c r="D37" s="101">
        <f>SUM(D28:D36)</f>
        <v>607760.57999999996</v>
      </c>
      <c r="E37" s="102"/>
      <c r="F37" s="102"/>
      <c r="G37" s="102"/>
      <c r="H37" s="85">
        <f>H28+SUM(H30:H35)</f>
        <v>105934.43</v>
      </c>
      <c r="I37" s="102"/>
      <c r="J37" s="103">
        <f t="shared" si="2"/>
        <v>501826.14999999997</v>
      </c>
      <c r="K37" s="104"/>
      <c r="L37" s="105">
        <f t="shared" si="1"/>
        <v>0.82569710263209239</v>
      </c>
      <c r="M37" s="71"/>
    </row>
    <row r="38" spans="1:13" x14ac:dyDescent="0.55000000000000004">
      <c r="A38" s="83"/>
      <c r="B38" s="145" t="s">
        <v>11</v>
      </c>
      <c r="C38" s="145"/>
      <c r="D38" s="87">
        <f>D37*0.05</f>
        <v>30388.028999999999</v>
      </c>
      <c r="M38" s="71"/>
    </row>
    <row r="39" spans="1:13" x14ac:dyDescent="0.55000000000000004">
      <c r="A39" s="95"/>
      <c r="B39" s="106"/>
      <c r="C39" s="106"/>
      <c r="D39" s="97"/>
      <c r="E39" s="96"/>
      <c r="F39" s="96"/>
      <c r="G39" s="96"/>
      <c r="H39" s="96"/>
      <c r="I39" s="96"/>
      <c r="J39" s="96"/>
      <c r="K39" s="96"/>
      <c r="L39" s="96"/>
      <c r="M39" s="99"/>
    </row>
    <row r="40" spans="1:13" ht="14.7" thickBot="1" x14ac:dyDescent="0.6">
      <c r="A40" s="95"/>
      <c r="B40" s="106"/>
      <c r="C40" s="106"/>
      <c r="D40" s="97"/>
      <c r="E40" s="96"/>
      <c r="F40" s="96"/>
      <c r="G40" s="96"/>
      <c r="H40" s="96"/>
      <c r="I40" s="96"/>
      <c r="J40" s="96"/>
      <c r="K40" s="96"/>
      <c r="L40" s="96"/>
      <c r="M40" s="99"/>
    </row>
    <row r="41" spans="1:13" ht="15.9" thickBot="1" x14ac:dyDescent="0.6">
      <c r="A41" s="83"/>
      <c r="B41" s="146" t="s">
        <v>42</v>
      </c>
      <c r="C41" s="146"/>
      <c r="D41" s="101">
        <f>SUM(D28:D34)+D36</f>
        <v>607760.57999999996</v>
      </c>
      <c r="E41" s="102"/>
      <c r="F41" s="102"/>
      <c r="G41" s="102"/>
      <c r="H41" s="85">
        <f>SUM(H28:H34)</f>
        <v>105934.43</v>
      </c>
      <c r="I41" s="102"/>
      <c r="J41" s="103">
        <f t="shared" ref="J41" si="5">+D41-H41</f>
        <v>501826.14999999997</v>
      </c>
      <c r="K41" s="104"/>
      <c r="L41" s="105">
        <f t="shared" ref="L41" si="6">IF(D41=0,0,+J41/D41)</f>
        <v>0.82569710263209239</v>
      </c>
      <c r="M41" s="71"/>
    </row>
    <row r="42" spans="1:13" x14ac:dyDescent="0.55000000000000004">
      <c r="A42" s="95"/>
      <c r="B42" s="98"/>
      <c r="C42" s="98"/>
      <c r="D42" s="97"/>
      <c r="E42" s="96"/>
      <c r="F42" s="96"/>
      <c r="G42" s="96"/>
      <c r="H42" s="96"/>
      <c r="I42" s="96"/>
      <c r="J42" s="96"/>
      <c r="K42" s="96"/>
      <c r="L42" s="96"/>
      <c r="M42" s="99"/>
    </row>
    <row r="43" spans="1:13" ht="18.3" x14ac:dyDescent="0.55000000000000004">
      <c r="A43" s="83"/>
      <c r="B43" s="150" t="s">
        <v>12</v>
      </c>
      <c r="C43" s="150"/>
      <c r="D43" s="107">
        <f>SUM(D37:D38)</f>
        <v>638148.60899999994</v>
      </c>
      <c r="M43" s="71"/>
    </row>
    <row r="44" spans="1:13" x14ac:dyDescent="0.55000000000000004">
      <c r="A44" s="83"/>
      <c r="M44" s="71"/>
    </row>
    <row r="45" spans="1:13" ht="14.7" thickBot="1" x14ac:dyDescent="0.6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10"/>
    </row>
  </sheetData>
  <mergeCells count="30">
    <mergeCell ref="B33:C33"/>
    <mergeCell ref="A1:L1"/>
    <mergeCell ref="A2:L2"/>
    <mergeCell ref="I6:J6"/>
    <mergeCell ref="K6:M6"/>
    <mergeCell ref="B13:C13"/>
    <mergeCell ref="A4:B4"/>
    <mergeCell ref="C8:H8"/>
    <mergeCell ref="C4:H4"/>
    <mergeCell ref="C5:H5"/>
    <mergeCell ref="C6:H6"/>
    <mergeCell ref="C7:H7"/>
    <mergeCell ref="I8:J8"/>
    <mergeCell ref="K8:M8"/>
    <mergeCell ref="B34:C34"/>
    <mergeCell ref="B41:C41"/>
    <mergeCell ref="K7:M7"/>
    <mergeCell ref="B43:C43"/>
    <mergeCell ref="K4:M4"/>
    <mergeCell ref="K5:M5"/>
    <mergeCell ref="B30:C30"/>
    <mergeCell ref="B32:C32"/>
    <mergeCell ref="B35:C35"/>
    <mergeCell ref="B37:C37"/>
    <mergeCell ref="B38:C38"/>
    <mergeCell ref="B31:C31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scale="73" orientation="landscape" cellComments="asDisplayed" r:id="rId1"/>
  <headerFooter>
    <oddFooter>&amp;L&amp;Z&amp;F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47"/>
  <sheetViews>
    <sheetView zoomScaleNormal="100" workbookViewId="0">
      <selection activeCell="A2" sqref="A2:L2"/>
    </sheetView>
  </sheetViews>
  <sheetFormatPr defaultRowHeight="14.4" x14ac:dyDescent="0.55000000000000004"/>
  <cols>
    <col min="1" max="1" width="4.68359375" customWidth="1"/>
    <col min="2" max="2" width="13.15625" customWidth="1"/>
    <col min="3" max="3" width="16.15625" customWidth="1"/>
    <col min="4" max="4" width="14.15625" customWidth="1"/>
    <col min="5" max="5" width="8" customWidth="1"/>
    <col min="6" max="6" width="21.578125" customWidth="1"/>
    <col min="7" max="7" width="13.41796875" customWidth="1"/>
    <col min="8" max="8" width="12.83984375" customWidth="1"/>
    <col min="9" max="9" width="8" customWidth="1"/>
    <col min="10" max="10" width="12.83984375" customWidth="1"/>
    <col min="11" max="11" width="5.578125" customWidth="1"/>
  </cols>
  <sheetData>
    <row r="1" spans="1:13" ht="25.8" x14ac:dyDescent="0.95">
      <c r="A1" s="111" t="str">
        <f>Summary!A1</f>
        <v>Company Name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18.3" x14ac:dyDescent="0.7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"/>
    </row>
    <row r="3" spans="1:13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55000000000000004">
      <c r="A4" s="115" t="s">
        <v>1</v>
      </c>
      <c r="B4" s="116"/>
      <c r="C4" s="117" t="str">
        <f>Contract!C4</f>
        <v xml:space="preserve"> </v>
      </c>
      <c r="D4" s="118"/>
      <c r="E4" s="118"/>
      <c r="F4" s="118"/>
      <c r="G4" s="118"/>
      <c r="H4" s="119"/>
      <c r="I4" s="7" t="s">
        <v>6</v>
      </c>
      <c r="J4" s="8"/>
      <c r="K4" s="122" t="str">
        <f>Contract!K4</f>
        <v xml:space="preserve"> </v>
      </c>
      <c r="L4" s="168"/>
      <c r="M4" s="123"/>
    </row>
    <row r="5" spans="1:13" x14ac:dyDescent="0.55000000000000004">
      <c r="A5" s="124" t="s">
        <v>2</v>
      </c>
      <c r="B5" s="125"/>
      <c r="C5" s="117" t="str">
        <f>Contract!C5</f>
        <v xml:space="preserve"> </v>
      </c>
      <c r="D5" s="118"/>
      <c r="E5" s="118"/>
      <c r="F5" s="118"/>
      <c r="G5" s="118"/>
      <c r="H5" s="119"/>
      <c r="I5" s="28" t="s">
        <v>7</v>
      </c>
      <c r="J5" s="29"/>
      <c r="K5" s="128"/>
      <c r="L5" s="129"/>
      <c r="M5" s="130"/>
    </row>
    <row r="6" spans="1:13" x14ac:dyDescent="0.55000000000000004">
      <c r="A6" s="124" t="s">
        <v>3</v>
      </c>
      <c r="B6" s="125"/>
      <c r="C6" s="117" t="str">
        <f>Contract!C6</f>
        <v xml:space="preserve"> </v>
      </c>
      <c r="D6" s="118"/>
      <c r="E6" s="118"/>
      <c r="F6" s="118"/>
      <c r="G6" s="118"/>
      <c r="H6" s="119"/>
      <c r="I6" s="170" t="s">
        <v>27</v>
      </c>
      <c r="J6" s="171"/>
      <c r="K6" s="172" t="str">
        <f>Contract!K6</f>
        <v xml:space="preserve"> </v>
      </c>
      <c r="L6" s="173"/>
      <c r="M6" s="174"/>
    </row>
    <row r="7" spans="1:13" x14ac:dyDescent="0.55000000000000004">
      <c r="A7" s="124" t="s">
        <v>4</v>
      </c>
      <c r="B7" s="125"/>
      <c r="C7" s="117" t="str">
        <f>Contract!C7</f>
        <v xml:space="preserve"> </v>
      </c>
      <c r="D7" s="118"/>
      <c r="E7" s="118"/>
      <c r="F7" s="118"/>
      <c r="G7" s="118"/>
      <c r="H7" s="119"/>
      <c r="I7" s="28" t="s">
        <v>29</v>
      </c>
      <c r="J7" s="29"/>
      <c r="K7" s="122" t="str">
        <f>Contract!K7</f>
        <v xml:space="preserve"> </v>
      </c>
      <c r="L7" s="168"/>
      <c r="M7" s="123"/>
    </row>
    <row r="8" spans="1:13" ht="14.7" thickBot="1" x14ac:dyDescent="0.6">
      <c r="A8" s="141" t="s">
        <v>5</v>
      </c>
      <c r="B8" s="142"/>
      <c r="C8" s="117" t="str">
        <f>Contract!C8</f>
        <v xml:space="preserve"> </v>
      </c>
      <c r="D8" s="118"/>
      <c r="E8" s="118"/>
      <c r="F8" s="118"/>
      <c r="G8" s="118"/>
      <c r="H8" s="119"/>
      <c r="I8" s="175" t="s">
        <v>46</v>
      </c>
      <c r="J8" s="176"/>
      <c r="K8" s="122" t="s">
        <v>61</v>
      </c>
      <c r="L8" s="168"/>
      <c r="M8" s="123"/>
    </row>
    <row r="9" spans="1:13" ht="14.7" thickBot="1" x14ac:dyDescent="0.6">
      <c r="A9" s="12"/>
      <c r="B9" s="13"/>
      <c r="C9" s="13"/>
      <c r="D9" s="13"/>
      <c r="E9" s="13"/>
      <c r="F9" s="13"/>
      <c r="G9" s="13"/>
      <c r="H9" s="13"/>
      <c r="I9" s="14"/>
      <c r="J9" s="14"/>
      <c r="K9" s="14"/>
      <c r="L9" s="14"/>
      <c r="M9" s="15"/>
    </row>
    <row r="10" spans="1:13" x14ac:dyDescent="0.55000000000000004">
      <c r="A10" s="3"/>
      <c r="M10" s="2"/>
    </row>
    <row r="11" spans="1:13" x14ac:dyDescent="0.55000000000000004">
      <c r="A11" s="3"/>
      <c r="D11" s="17" t="s">
        <v>13</v>
      </c>
      <c r="E11" s="17"/>
      <c r="F11" s="17"/>
      <c r="G11" s="17"/>
      <c r="H11" s="17" t="s">
        <v>14</v>
      </c>
      <c r="I11" s="17"/>
      <c r="J11" s="17" t="s">
        <v>19</v>
      </c>
      <c r="K11" s="17"/>
      <c r="L11" s="17" t="s">
        <v>20</v>
      </c>
      <c r="M11" s="2"/>
    </row>
    <row r="12" spans="1:13" x14ac:dyDescent="0.55000000000000004">
      <c r="A12" s="3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x14ac:dyDescent="0.55000000000000004">
      <c r="A13" s="3"/>
      <c r="B13" s="169" t="s">
        <v>15</v>
      </c>
      <c r="C13" s="169"/>
      <c r="D13" s="30">
        <f>Contract!D13</f>
        <v>449900</v>
      </c>
      <c r="F13" s="16" t="s">
        <v>65</v>
      </c>
      <c r="H13" s="18">
        <f>Contract!H13</f>
        <v>0</v>
      </c>
      <c r="I13" s="31" t="e">
        <f>H13/C8</f>
        <v>#VALUE!</v>
      </c>
      <c r="J13" s="20">
        <f>+D13-H13</f>
        <v>449900</v>
      </c>
      <c r="L13" s="21">
        <f>IF(D13=0,0,+J13/D13)</f>
        <v>1</v>
      </c>
      <c r="M13" s="2"/>
    </row>
    <row r="14" spans="1:13" x14ac:dyDescent="0.55000000000000004">
      <c r="A14" s="3"/>
      <c r="B14" s="40"/>
      <c r="C14" s="40"/>
      <c r="D14" s="30"/>
      <c r="F14" s="16" t="s">
        <v>66</v>
      </c>
      <c r="H14" s="18">
        <v>0</v>
      </c>
      <c r="I14" s="31"/>
      <c r="J14" s="20"/>
      <c r="L14" s="21"/>
      <c r="M14" s="2"/>
    </row>
    <row r="15" spans="1:13" x14ac:dyDescent="0.55000000000000004">
      <c r="A15" s="3"/>
      <c r="B15" s="40"/>
      <c r="C15" s="40"/>
      <c r="D15" s="19"/>
      <c r="F15" s="16" t="s">
        <v>48</v>
      </c>
      <c r="H15" s="19" t="s">
        <v>67</v>
      </c>
      <c r="I15" s="31"/>
      <c r="J15" s="39"/>
      <c r="L15" s="38"/>
      <c r="M15" s="2"/>
    </row>
    <row r="16" spans="1:13" x14ac:dyDescent="0.55000000000000004">
      <c r="A16" s="3"/>
      <c r="B16" s="40"/>
      <c r="C16" s="40"/>
      <c r="D16" s="19"/>
      <c r="F16" s="16" t="s">
        <v>50</v>
      </c>
      <c r="H16" s="18">
        <f>H13+H14</f>
        <v>0</v>
      </c>
      <c r="I16" s="31" t="e">
        <f>H16/C8</f>
        <v>#VALUE!</v>
      </c>
      <c r="J16" s="20">
        <f>+D13-H16</f>
        <v>449900</v>
      </c>
      <c r="L16" s="21">
        <f>IF(D13=0,0,+J16/D13)</f>
        <v>1</v>
      </c>
      <c r="M16" s="2"/>
    </row>
    <row r="17" spans="1:13" x14ac:dyDescent="0.55000000000000004">
      <c r="A17" s="3"/>
      <c r="B17" t="s">
        <v>17</v>
      </c>
      <c r="D17" s="19"/>
      <c r="F17" s="16" t="s">
        <v>8</v>
      </c>
      <c r="H17" s="19"/>
      <c r="M17" s="2"/>
    </row>
    <row r="18" spans="1:13" x14ac:dyDescent="0.55000000000000004">
      <c r="A18" s="3"/>
      <c r="B18" s="16" t="s">
        <v>30</v>
      </c>
      <c r="C18" t="s">
        <v>37</v>
      </c>
      <c r="D18" s="30">
        <f>Contract!D16</f>
        <v>1000</v>
      </c>
      <c r="F18" s="16" t="s">
        <v>22</v>
      </c>
      <c r="G18" s="30">
        <f>Contract!G16</f>
        <v>0</v>
      </c>
      <c r="H18" s="19"/>
      <c r="M18" s="2"/>
    </row>
    <row r="19" spans="1:13" x14ac:dyDescent="0.55000000000000004">
      <c r="A19" s="3"/>
      <c r="B19" s="16" t="s">
        <v>31</v>
      </c>
      <c r="C19" t="s">
        <v>35</v>
      </c>
      <c r="D19" s="30">
        <f>Contract!D17</f>
        <v>134500</v>
      </c>
      <c r="F19" s="16" t="s">
        <v>23</v>
      </c>
      <c r="G19" s="30">
        <f>Contract!G17</f>
        <v>0</v>
      </c>
      <c r="H19" s="19"/>
      <c r="M19" s="2"/>
    </row>
    <row r="20" spans="1:13" x14ac:dyDescent="0.55000000000000004">
      <c r="A20" s="3"/>
      <c r="B20" s="16" t="s">
        <v>32</v>
      </c>
      <c r="C20" t="s">
        <v>36</v>
      </c>
      <c r="D20" s="30">
        <f>Contract!D18</f>
        <v>7000</v>
      </c>
      <c r="F20" s="16" t="s">
        <v>45</v>
      </c>
      <c r="G20" s="30">
        <f>(D39/1000)*0.35</f>
        <v>215.75042999999994</v>
      </c>
      <c r="H20" s="19"/>
      <c r="M20" s="2"/>
    </row>
    <row r="21" spans="1:13" x14ac:dyDescent="0.55000000000000004">
      <c r="A21" s="3"/>
      <c r="B21" s="16" t="s">
        <v>33</v>
      </c>
      <c r="C21" t="s">
        <v>38</v>
      </c>
      <c r="D21" s="30">
        <f>Contract!D19</f>
        <v>38700</v>
      </c>
      <c r="F21" s="16" t="s">
        <v>43</v>
      </c>
      <c r="G21" s="30">
        <v>0</v>
      </c>
      <c r="H21" s="19"/>
      <c r="M21" s="2"/>
    </row>
    <row r="22" spans="1:13" x14ac:dyDescent="0.55000000000000004">
      <c r="A22" s="3"/>
      <c r="B22" s="16" t="s">
        <v>40</v>
      </c>
      <c r="C22" t="s">
        <v>41</v>
      </c>
      <c r="D22" s="30">
        <f>Contract!D20</f>
        <v>0</v>
      </c>
      <c r="F22" s="16" t="s">
        <v>18</v>
      </c>
      <c r="G22" s="30">
        <v>0</v>
      </c>
      <c r="H22" s="19"/>
      <c r="M22" s="2"/>
    </row>
    <row r="23" spans="1:13" x14ac:dyDescent="0.55000000000000004">
      <c r="A23" s="3"/>
      <c r="B23" s="16" t="s">
        <v>34</v>
      </c>
      <c r="D23" s="30">
        <f>D45-SUM(D18:D22)</f>
        <v>466051.28999999992</v>
      </c>
      <c r="F23" s="16" t="s">
        <v>24</v>
      </c>
      <c r="G23" s="18">
        <f>(D30+D32+D34+D36+D38)*0.033</f>
        <v>20222.419139999998</v>
      </c>
      <c r="H23" s="19"/>
      <c r="M23" s="2"/>
    </row>
    <row r="24" spans="1:13" x14ac:dyDescent="0.55000000000000004">
      <c r="A24" s="3"/>
      <c r="B24" s="16"/>
      <c r="D24" s="19"/>
      <c r="F24" s="16" t="s">
        <v>58</v>
      </c>
      <c r="G24" s="30">
        <v>0</v>
      </c>
      <c r="H24" s="19"/>
      <c r="M24" s="2"/>
    </row>
    <row r="25" spans="1:13" x14ac:dyDescent="0.55000000000000004">
      <c r="A25" s="3"/>
      <c r="D25" s="19"/>
      <c r="F25" s="16" t="s">
        <v>25</v>
      </c>
      <c r="G25" s="30">
        <v>0</v>
      </c>
      <c r="H25" s="19"/>
      <c r="M25" s="2"/>
    </row>
    <row r="26" spans="1:13" x14ac:dyDescent="0.55000000000000004">
      <c r="A26" s="3"/>
      <c r="D26" s="19"/>
      <c r="F26" s="16" t="s">
        <v>26</v>
      </c>
      <c r="G26" s="30">
        <v>0</v>
      </c>
      <c r="H26" s="19"/>
      <c r="M26" s="2"/>
    </row>
    <row r="27" spans="1:13" x14ac:dyDescent="0.55000000000000004">
      <c r="A27" s="3"/>
      <c r="D27" s="19"/>
      <c r="F27" s="16" t="s">
        <v>44</v>
      </c>
      <c r="G27" s="30">
        <v>0</v>
      </c>
      <c r="H27" s="19"/>
      <c r="M27" s="2"/>
    </row>
    <row r="28" spans="1:13" x14ac:dyDescent="0.55000000000000004">
      <c r="A28" s="3"/>
      <c r="D28" s="19"/>
      <c r="F28" s="16" t="s">
        <v>21</v>
      </c>
      <c r="H28" s="18">
        <f>SUM(G18:G27)</f>
        <v>20438.169569999998</v>
      </c>
      <c r="M28" s="2"/>
    </row>
    <row r="29" spans="1:13" x14ac:dyDescent="0.55000000000000004">
      <c r="A29" s="32"/>
      <c r="B29" s="33"/>
      <c r="C29" s="33"/>
      <c r="D29" s="34"/>
      <c r="E29" s="33"/>
      <c r="F29" s="35"/>
      <c r="G29" s="33"/>
      <c r="H29" s="33"/>
      <c r="I29" s="33"/>
      <c r="J29" s="33"/>
      <c r="K29" s="33"/>
      <c r="L29" s="33"/>
      <c r="M29" s="36"/>
    </row>
    <row r="30" spans="1:13" x14ac:dyDescent="0.55000000000000004">
      <c r="A30" s="3"/>
      <c r="B30" s="16" t="s">
        <v>51</v>
      </c>
      <c r="D30" s="18">
        <f>Contract!D28</f>
        <v>449900</v>
      </c>
      <c r="E30" s="31" t="e">
        <f>D30/C8</f>
        <v>#VALUE!</v>
      </c>
      <c r="H30" s="18">
        <f>H16+H28</f>
        <v>20438.169569999998</v>
      </c>
      <c r="I30" s="31" t="e">
        <f>H30/C8</f>
        <v>#VALUE!</v>
      </c>
      <c r="J30" s="20">
        <f>+D30-H30</f>
        <v>429461.83042999997</v>
      </c>
      <c r="L30" s="21">
        <f>IF(D30=0,0,+J30/D30)</f>
        <v>0.95457175023338514</v>
      </c>
      <c r="M30" s="2"/>
    </row>
    <row r="31" spans="1:13" x14ac:dyDescent="0.55000000000000004">
      <c r="A31" s="32"/>
      <c r="B31" s="33"/>
      <c r="C31" s="33"/>
      <c r="D31" s="34"/>
      <c r="E31" s="33"/>
      <c r="F31" s="33"/>
      <c r="G31" s="33"/>
      <c r="H31" s="34"/>
      <c r="I31" s="33"/>
      <c r="J31" s="33"/>
      <c r="K31" s="33"/>
      <c r="L31" s="33"/>
      <c r="M31" s="36"/>
    </row>
    <row r="32" spans="1:13" x14ac:dyDescent="0.55000000000000004">
      <c r="A32" s="3"/>
      <c r="B32" s="169" t="s">
        <v>28</v>
      </c>
      <c r="C32" s="169"/>
      <c r="D32" s="30">
        <f>Contract!D30</f>
        <v>80683.12</v>
      </c>
      <c r="H32" s="18">
        <f>Contract!H30</f>
        <v>105934.43</v>
      </c>
      <c r="J32" s="20">
        <f t="shared" ref="J32:J39" si="0">+D32-H32</f>
        <v>-25251.309999999998</v>
      </c>
      <c r="L32" s="21">
        <f t="shared" ref="L32:L39" si="1">IF(D32=0,0,+J32/D32)</f>
        <v>-0.31296893327873287</v>
      </c>
      <c r="M32" s="2"/>
    </row>
    <row r="33" spans="1:13" x14ac:dyDescent="0.55000000000000004">
      <c r="A33" s="3"/>
      <c r="B33" s="169" t="s">
        <v>49</v>
      </c>
      <c r="C33" s="169"/>
      <c r="D33" s="30">
        <v>3629.22</v>
      </c>
      <c r="H33" s="18">
        <f>Contract!H31</f>
        <v>0</v>
      </c>
      <c r="J33" s="20">
        <f t="shared" si="0"/>
        <v>3629.22</v>
      </c>
      <c r="L33" s="21">
        <f t="shared" si="1"/>
        <v>1</v>
      </c>
      <c r="M33" s="2"/>
    </row>
    <row r="34" spans="1:13" x14ac:dyDescent="0.55000000000000004">
      <c r="A34" s="3"/>
      <c r="B34" s="169" t="s">
        <v>16</v>
      </c>
      <c r="C34" s="169"/>
      <c r="D34" s="30">
        <f>Contract!D32</f>
        <v>52217.46</v>
      </c>
      <c r="H34" s="18">
        <f>Contract!H32</f>
        <v>0</v>
      </c>
      <c r="J34" s="20">
        <f t="shared" si="0"/>
        <v>52217.46</v>
      </c>
      <c r="L34" s="21">
        <f t="shared" si="1"/>
        <v>1</v>
      </c>
      <c r="M34" s="2"/>
    </row>
    <row r="35" spans="1:13" x14ac:dyDescent="0.55000000000000004">
      <c r="A35" s="3"/>
      <c r="B35" s="169" t="s">
        <v>60</v>
      </c>
      <c r="C35" s="169"/>
      <c r="D35" s="30">
        <v>0</v>
      </c>
      <c r="H35" s="18">
        <f>Contract!H33</f>
        <v>0</v>
      </c>
      <c r="J35" s="20">
        <f t="shared" si="0"/>
        <v>0</v>
      </c>
      <c r="L35" s="21">
        <f t="shared" si="1"/>
        <v>0</v>
      </c>
      <c r="M35" s="2"/>
    </row>
    <row r="36" spans="1:13" x14ac:dyDescent="0.55000000000000004">
      <c r="A36" s="3"/>
      <c r="B36" s="169" t="s">
        <v>59</v>
      </c>
      <c r="C36" s="169"/>
      <c r="D36" s="30">
        <f>Contract!D34</f>
        <v>30000</v>
      </c>
      <c r="H36" s="18">
        <f>Contract!H34</f>
        <v>0</v>
      </c>
      <c r="J36" s="20">
        <f t="shared" si="0"/>
        <v>30000</v>
      </c>
      <c r="L36" s="21">
        <f t="shared" si="1"/>
        <v>1</v>
      </c>
      <c r="M36" s="2"/>
    </row>
    <row r="37" spans="1:13" x14ac:dyDescent="0.55000000000000004">
      <c r="A37" s="3"/>
      <c r="B37" s="169" t="s">
        <v>9</v>
      </c>
      <c r="C37" s="169"/>
      <c r="D37" s="30">
        <f>Contract!D35</f>
        <v>0</v>
      </c>
      <c r="H37" s="30">
        <f>D37</f>
        <v>0</v>
      </c>
      <c r="J37" s="20">
        <f t="shared" si="0"/>
        <v>0</v>
      </c>
      <c r="L37" s="21">
        <f t="shared" si="1"/>
        <v>0</v>
      </c>
      <c r="M37" s="2"/>
    </row>
    <row r="38" spans="1:13" ht="14.7" thickBot="1" x14ac:dyDescent="0.6">
      <c r="A38" s="3"/>
      <c r="B38" s="16" t="s">
        <v>39</v>
      </c>
      <c r="C38" s="16"/>
      <c r="D38" s="30">
        <f>Contract!D36</f>
        <v>0</v>
      </c>
      <c r="H38" s="30">
        <v>0</v>
      </c>
      <c r="J38" s="20">
        <f t="shared" si="0"/>
        <v>0</v>
      </c>
      <c r="L38" s="21">
        <f t="shared" si="1"/>
        <v>0</v>
      </c>
      <c r="M38" s="2"/>
    </row>
    <row r="39" spans="1:13" ht="15.9" thickBot="1" x14ac:dyDescent="0.65">
      <c r="A39" s="3"/>
      <c r="B39" s="177" t="s">
        <v>10</v>
      </c>
      <c r="C39" s="177"/>
      <c r="D39" s="23">
        <f>SUM(D30:D38)</f>
        <v>616429.79999999993</v>
      </c>
      <c r="E39" s="24"/>
      <c r="F39" s="24"/>
      <c r="G39" s="24"/>
      <c r="H39" s="30">
        <f>H30+SUM(H32:H37)</f>
        <v>126372.59956999999</v>
      </c>
      <c r="I39" s="24"/>
      <c r="J39" s="25">
        <f t="shared" si="0"/>
        <v>490057.20042999997</v>
      </c>
      <c r="K39" s="26"/>
      <c r="L39" s="27">
        <f t="shared" si="1"/>
        <v>0.79499271519644255</v>
      </c>
      <c r="M39" s="2"/>
    </row>
    <row r="40" spans="1:13" x14ac:dyDescent="0.55000000000000004">
      <c r="A40" s="3"/>
      <c r="B40" s="169" t="s">
        <v>11</v>
      </c>
      <c r="C40" s="169"/>
      <c r="D40" s="18">
        <f>D39*0.05</f>
        <v>30821.489999999998</v>
      </c>
      <c r="M40" s="2"/>
    </row>
    <row r="41" spans="1:13" x14ac:dyDescent="0.55000000000000004">
      <c r="A41" s="32"/>
      <c r="B41" s="37"/>
      <c r="C41" s="37"/>
      <c r="D41" s="34"/>
      <c r="E41" s="33"/>
      <c r="F41" s="33"/>
      <c r="G41" s="33"/>
      <c r="H41" s="33"/>
      <c r="I41" s="33"/>
      <c r="J41" s="33"/>
      <c r="K41" s="33"/>
      <c r="L41" s="33"/>
      <c r="M41" s="36"/>
    </row>
    <row r="42" spans="1:13" ht="14.7" thickBot="1" x14ac:dyDescent="0.6">
      <c r="A42" s="32"/>
      <c r="B42" s="37"/>
      <c r="C42" s="37"/>
      <c r="D42" s="34"/>
      <c r="E42" s="33"/>
      <c r="F42" s="33"/>
      <c r="G42" s="33"/>
      <c r="H42" s="33"/>
      <c r="I42" s="33"/>
      <c r="J42" s="33"/>
      <c r="K42" s="33"/>
      <c r="L42" s="33"/>
      <c r="M42" s="36"/>
    </row>
    <row r="43" spans="1:13" ht="15.9" thickBot="1" x14ac:dyDescent="0.65">
      <c r="A43" s="3"/>
      <c r="B43" s="177" t="s">
        <v>42</v>
      </c>
      <c r="C43" s="177"/>
      <c r="D43" s="23">
        <f>SUM(D30:D36)+D38</f>
        <v>616429.79999999993</v>
      </c>
      <c r="E43" s="24"/>
      <c r="F43" s="24"/>
      <c r="G43" s="24"/>
      <c r="H43" s="30">
        <f>SUM(H30:H36)</f>
        <v>126372.59956999999</v>
      </c>
      <c r="I43" s="24"/>
      <c r="J43" s="25">
        <f t="shared" ref="J43" si="2">+D43-H43</f>
        <v>490057.20042999997</v>
      </c>
      <c r="K43" s="26"/>
      <c r="L43" s="27">
        <f t="shared" ref="L43" si="3">IF(D43=0,0,+J43/D43)</f>
        <v>0.79499271519644255</v>
      </c>
      <c r="M43" s="2"/>
    </row>
    <row r="44" spans="1:13" x14ac:dyDescent="0.55000000000000004">
      <c r="A44" s="32"/>
      <c r="B44" s="35"/>
      <c r="C44" s="35"/>
      <c r="D44" s="34"/>
      <c r="E44" s="33"/>
      <c r="F44" s="33"/>
      <c r="G44" s="33"/>
      <c r="H44" s="33"/>
      <c r="I44" s="33"/>
      <c r="J44" s="33"/>
      <c r="K44" s="33"/>
      <c r="L44" s="33"/>
      <c r="M44" s="36"/>
    </row>
    <row r="45" spans="1:13" ht="18.3" x14ac:dyDescent="0.7">
      <c r="A45" s="3"/>
      <c r="B45" s="178" t="s">
        <v>12</v>
      </c>
      <c r="C45" s="178"/>
      <c r="D45" s="22">
        <f>SUM(D39:D40)</f>
        <v>647251.28999999992</v>
      </c>
      <c r="M45" s="2"/>
    </row>
    <row r="46" spans="1:13" x14ac:dyDescent="0.55000000000000004">
      <c r="A46" s="3"/>
      <c r="M46" s="2"/>
    </row>
    <row r="47" spans="1:13" ht="14.7" thickBot="1" x14ac:dyDescent="0.6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</sheetData>
  <mergeCells count="30">
    <mergeCell ref="B43:C43"/>
    <mergeCell ref="B45:C45"/>
    <mergeCell ref="B33:C33"/>
    <mergeCell ref="B34:C34"/>
    <mergeCell ref="B35:C35"/>
    <mergeCell ref="B37:C37"/>
    <mergeCell ref="B39:C39"/>
    <mergeCell ref="B40:C40"/>
    <mergeCell ref="B36:C36"/>
    <mergeCell ref="B32:C32"/>
    <mergeCell ref="A6:B6"/>
    <mergeCell ref="C6:H6"/>
    <mergeCell ref="I6:J6"/>
    <mergeCell ref="K6:M6"/>
    <mergeCell ref="A7:B7"/>
    <mergeCell ref="C7:H7"/>
    <mergeCell ref="K7:M7"/>
    <mergeCell ref="A8:B8"/>
    <mergeCell ref="C8:H8"/>
    <mergeCell ref="I8:J8"/>
    <mergeCell ref="K8:M8"/>
    <mergeCell ref="B13:C13"/>
    <mergeCell ref="A5:B5"/>
    <mergeCell ref="C5:H5"/>
    <mergeCell ref="K5:M5"/>
    <mergeCell ref="A1:L1"/>
    <mergeCell ref="A2:L2"/>
    <mergeCell ref="A4:B4"/>
    <mergeCell ref="C4:H4"/>
    <mergeCell ref="K4:M4"/>
  </mergeCells>
  <dataValidations count="2">
    <dataValidation type="list" allowBlank="1" showInputMessage="1" showErrorMessage="1" sqref="K8:M8" xr:uid="{00000000-0002-0000-0200-000000000000}">
      <formula1>Estimators</formula1>
    </dataValidation>
    <dataValidation type="list" allowBlank="1" showInputMessage="1" showErrorMessage="1" sqref="K5:M5" xr:uid="{00000000-0002-0000-0200-000001000000}">
      <formula1>Areas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cellComments="asDisplayed" r:id="rId1"/>
  <headerFooter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47"/>
  <sheetViews>
    <sheetView zoomScaleNormal="100" workbookViewId="0">
      <selection activeCell="A2" sqref="A2:L2"/>
    </sheetView>
  </sheetViews>
  <sheetFormatPr defaultRowHeight="14.4" x14ac:dyDescent="0.55000000000000004"/>
  <cols>
    <col min="1" max="1" width="4.68359375" customWidth="1"/>
    <col min="2" max="2" width="13.15625" customWidth="1"/>
    <col min="3" max="3" width="16.15625" customWidth="1"/>
    <col min="4" max="4" width="14.15625" customWidth="1"/>
    <col min="5" max="5" width="8" customWidth="1"/>
    <col min="6" max="6" width="21.578125" customWidth="1"/>
    <col min="7" max="7" width="13.41796875" customWidth="1"/>
    <col min="8" max="8" width="12.83984375" customWidth="1"/>
    <col min="9" max="9" width="8" customWidth="1"/>
    <col min="10" max="10" width="12.83984375" customWidth="1"/>
    <col min="11" max="11" width="5.578125" customWidth="1"/>
  </cols>
  <sheetData>
    <row r="1" spans="1:13" ht="25.8" x14ac:dyDescent="0.95">
      <c r="A1" s="111" t="str">
        <f>Summary!A1</f>
        <v>Company Name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18.3" x14ac:dyDescent="0.7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"/>
    </row>
    <row r="3" spans="1:13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55000000000000004">
      <c r="A4" s="115" t="s">
        <v>1</v>
      </c>
      <c r="B4" s="116"/>
      <c r="C4" s="117" t="str">
        <f>Contract!C4</f>
        <v xml:space="preserve"> </v>
      </c>
      <c r="D4" s="118"/>
      <c r="E4" s="118"/>
      <c r="F4" s="118"/>
      <c r="G4" s="118"/>
      <c r="H4" s="119"/>
      <c r="I4" s="7" t="s">
        <v>6</v>
      </c>
      <c r="J4" s="8"/>
      <c r="K4" s="122" t="str">
        <f>Contract!K4</f>
        <v xml:space="preserve"> </v>
      </c>
      <c r="L4" s="168"/>
      <c r="M4" s="123"/>
    </row>
    <row r="5" spans="1:13" x14ac:dyDescent="0.55000000000000004">
      <c r="A5" s="124" t="s">
        <v>2</v>
      </c>
      <c r="B5" s="125"/>
      <c r="C5" s="117" t="str">
        <f>Contract!C5</f>
        <v xml:space="preserve"> </v>
      </c>
      <c r="D5" s="118"/>
      <c r="E5" s="118"/>
      <c r="F5" s="118"/>
      <c r="G5" s="118"/>
      <c r="H5" s="119"/>
      <c r="I5" s="28" t="s">
        <v>7</v>
      </c>
      <c r="J5" s="29"/>
      <c r="K5" s="128"/>
      <c r="L5" s="129"/>
      <c r="M5" s="130"/>
    </row>
    <row r="6" spans="1:13" x14ac:dyDescent="0.55000000000000004">
      <c r="A6" s="124" t="s">
        <v>3</v>
      </c>
      <c r="B6" s="125"/>
      <c r="C6" s="117" t="str">
        <f>Contract!C6</f>
        <v xml:space="preserve"> </v>
      </c>
      <c r="D6" s="118"/>
      <c r="E6" s="118"/>
      <c r="F6" s="118"/>
      <c r="G6" s="118"/>
      <c r="H6" s="119"/>
      <c r="I6" s="170" t="s">
        <v>27</v>
      </c>
      <c r="J6" s="171"/>
      <c r="K6" s="172" t="str">
        <f>Contract!K6</f>
        <v xml:space="preserve"> </v>
      </c>
      <c r="L6" s="173"/>
      <c r="M6" s="174"/>
    </row>
    <row r="7" spans="1:13" x14ac:dyDescent="0.55000000000000004">
      <c r="A7" s="124" t="s">
        <v>4</v>
      </c>
      <c r="B7" s="125"/>
      <c r="C7" s="117" t="str">
        <f>Contract!C7</f>
        <v xml:space="preserve"> </v>
      </c>
      <c r="D7" s="118"/>
      <c r="E7" s="118"/>
      <c r="F7" s="118"/>
      <c r="G7" s="118"/>
      <c r="H7" s="119"/>
      <c r="I7" s="28" t="s">
        <v>29</v>
      </c>
      <c r="J7" s="29"/>
      <c r="K7" s="122" t="str">
        <f>Contract!K7</f>
        <v xml:space="preserve"> </v>
      </c>
      <c r="L7" s="168"/>
      <c r="M7" s="123"/>
    </row>
    <row r="8" spans="1:13" ht="14.7" thickBot="1" x14ac:dyDescent="0.6">
      <c r="A8" s="141" t="s">
        <v>5</v>
      </c>
      <c r="B8" s="142"/>
      <c r="C8" s="117" t="str">
        <f>Contract!C8</f>
        <v xml:space="preserve"> </v>
      </c>
      <c r="D8" s="118"/>
      <c r="E8" s="118"/>
      <c r="F8" s="118"/>
      <c r="G8" s="118"/>
      <c r="H8" s="119"/>
      <c r="I8" s="175" t="s">
        <v>46</v>
      </c>
      <c r="J8" s="176"/>
      <c r="K8" s="122" t="s">
        <v>61</v>
      </c>
      <c r="L8" s="168"/>
      <c r="M8" s="123"/>
    </row>
    <row r="9" spans="1:13" ht="14.7" thickBot="1" x14ac:dyDescent="0.6">
      <c r="A9" s="12"/>
      <c r="B9" s="13"/>
      <c r="C9" s="13"/>
      <c r="D9" s="13"/>
      <c r="E9" s="13"/>
      <c r="F9" s="13"/>
      <c r="G9" s="13"/>
      <c r="H9" s="13"/>
      <c r="I9" s="14"/>
      <c r="J9" s="14"/>
      <c r="K9" s="14"/>
      <c r="L9" s="14"/>
      <c r="M9" s="15"/>
    </row>
    <row r="10" spans="1:13" x14ac:dyDescent="0.55000000000000004">
      <c r="A10" s="3"/>
      <c r="M10" s="2"/>
    </row>
    <row r="11" spans="1:13" x14ac:dyDescent="0.55000000000000004">
      <c r="A11" s="3"/>
      <c r="D11" s="17" t="s">
        <v>13</v>
      </c>
      <c r="E11" s="17"/>
      <c r="F11" s="17"/>
      <c r="G11" s="17"/>
      <c r="H11" s="17" t="s">
        <v>14</v>
      </c>
      <c r="I11" s="17"/>
      <c r="J11" s="17" t="s">
        <v>19</v>
      </c>
      <c r="K11" s="17"/>
      <c r="L11" s="17" t="s">
        <v>20</v>
      </c>
      <c r="M11" s="2"/>
    </row>
    <row r="12" spans="1:13" x14ac:dyDescent="0.55000000000000004">
      <c r="A12" s="3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x14ac:dyDescent="0.55000000000000004">
      <c r="A13" s="3"/>
      <c r="B13" s="169" t="s">
        <v>15</v>
      </c>
      <c r="C13" s="169"/>
      <c r="D13" s="30">
        <f>Contract!D13</f>
        <v>449900</v>
      </c>
      <c r="F13" s="16" t="s">
        <v>65</v>
      </c>
      <c r="H13" s="18">
        <f>Contract!H13</f>
        <v>0</v>
      </c>
      <c r="I13" s="31" t="e">
        <f>H13/C8</f>
        <v>#VALUE!</v>
      </c>
      <c r="J13" s="20">
        <f>+D13-H13</f>
        <v>449900</v>
      </c>
      <c r="L13" s="21">
        <f>IF(D13=0,0,+J13/D13)</f>
        <v>1</v>
      </c>
      <c r="M13" s="2"/>
    </row>
    <row r="14" spans="1:13" x14ac:dyDescent="0.55000000000000004">
      <c r="A14" s="3"/>
      <c r="B14" s="40"/>
      <c r="C14" s="40"/>
      <c r="D14" s="30"/>
      <c r="F14" s="16" t="s">
        <v>66</v>
      </c>
      <c r="H14" s="18">
        <f>Lockdown!H14</f>
        <v>0</v>
      </c>
      <c r="I14" s="31"/>
      <c r="J14" s="20"/>
      <c r="L14" s="21"/>
      <c r="M14" s="2"/>
    </row>
    <row r="15" spans="1:13" x14ac:dyDescent="0.55000000000000004">
      <c r="A15" s="3"/>
      <c r="B15" s="40"/>
      <c r="C15" s="40"/>
      <c r="D15" s="19"/>
      <c r="F15" s="16" t="s">
        <v>48</v>
      </c>
      <c r="H15" s="19" t="s">
        <v>67</v>
      </c>
      <c r="I15" s="31"/>
      <c r="J15" s="39"/>
      <c r="L15" s="38"/>
      <c r="M15" s="2"/>
    </row>
    <row r="16" spans="1:13" x14ac:dyDescent="0.55000000000000004">
      <c r="A16" s="3"/>
      <c r="B16" s="40"/>
      <c r="C16" s="40"/>
      <c r="D16" s="19"/>
      <c r="F16" s="16" t="s">
        <v>50</v>
      </c>
      <c r="H16" s="18">
        <f>H13+H14</f>
        <v>0</v>
      </c>
      <c r="I16" s="31" t="e">
        <f>H16/C8</f>
        <v>#VALUE!</v>
      </c>
      <c r="J16" s="20">
        <f>+D13-H16</f>
        <v>449900</v>
      </c>
      <c r="L16" s="21">
        <f>IF(D13=0,0,+J16/D13)</f>
        <v>1</v>
      </c>
      <c r="M16" s="2"/>
    </row>
    <row r="17" spans="1:13" x14ac:dyDescent="0.55000000000000004">
      <c r="A17" s="3"/>
      <c r="B17" t="s">
        <v>17</v>
      </c>
      <c r="D17" s="19"/>
      <c r="F17" s="16" t="s">
        <v>8</v>
      </c>
      <c r="H17" s="19"/>
      <c r="M17" s="2"/>
    </row>
    <row r="18" spans="1:13" x14ac:dyDescent="0.55000000000000004">
      <c r="A18" s="3"/>
      <c r="B18" s="16" t="s">
        <v>30</v>
      </c>
      <c r="C18" t="s">
        <v>37</v>
      </c>
      <c r="D18" s="30">
        <f>Contract!D16</f>
        <v>1000</v>
      </c>
      <c r="F18" s="16" t="s">
        <v>22</v>
      </c>
      <c r="G18" s="30">
        <f>Contract!G16</f>
        <v>0</v>
      </c>
      <c r="H18" s="19"/>
      <c r="M18" s="2"/>
    </row>
    <row r="19" spans="1:13" x14ac:dyDescent="0.55000000000000004">
      <c r="A19" s="3"/>
      <c r="B19" s="16" t="s">
        <v>31</v>
      </c>
      <c r="C19" t="s">
        <v>35</v>
      </c>
      <c r="D19" s="30">
        <f>Contract!D17</f>
        <v>134500</v>
      </c>
      <c r="F19" s="16" t="s">
        <v>23</v>
      </c>
      <c r="G19" s="30">
        <f>Contract!G17</f>
        <v>0</v>
      </c>
      <c r="H19" s="19"/>
      <c r="M19" s="2"/>
    </row>
    <row r="20" spans="1:13" x14ac:dyDescent="0.55000000000000004">
      <c r="A20" s="3"/>
      <c r="B20" s="16" t="s">
        <v>32</v>
      </c>
      <c r="C20" t="s">
        <v>36</v>
      </c>
      <c r="D20" s="30">
        <f>Contract!D18</f>
        <v>7000</v>
      </c>
      <c r="F20" s="16" t="s">
        <v>45</v>
      </c>
      <c r="G20" s="30">
        <f>(D39/1000)*0.35</f>
        <v>205.25042999999994</v>
      </c>
      <c r="H20" s="19"/>
      <c r="M20" s="2"/>
    </row>
    <row r="21" spans="1:13" x14ac:dyDescent="0.55000000000000004">
      <c r="A21" s="3"/>
      <c r="B21" s="16" t="s">
        <v>33</v>
      </c>
      <c r="C21" t="s">
        <v>38</v>
      </c>
      <c r="D21" s="30">
        <f>Contract!D19</f>
        <v>38700</v>
      </c>
      <c r="F21" s="16" t="s">
        <v>43</v>
      </c>
      <c r="G21" s="30">
        <v>0</v>
      </c>
      <c r="H21" s="19"/>
      <c r="M21" s="2"/>
    </row>
    <row r="22" spans="1:13" x14ac:dyDescent="0.55000000000000004">
      <c r="A22" s="3"/>
      <c r="B22" s="16" t="s">
        <v>40</v>
      </c>
      <c r="C22" t="s">
        <v>41</v>
      </c>
      <c r="D22" s="30">
        <f>Contract!D20</f>
        <v>0</v>
      </c>
      <c r="F22" s="16" t="s">
        <v>18</v>
      </c>
      <c r="G22" s="30">
        <v>0</v>
      </c>
      <c r="H22" s="19"/>
      <c r="M22" s="2"/>
    </row>
    <row r="23" spans="1:13" x14ac:dyDescent="0.55000000000000004">
      <c r="A23" s="3"/>
      <c r="B23" s="16" t="s">
        <v>34</v>
      </c>
      <c r="D23" s="30">
        <f>D45-SUM(D18:D22)</f>
        <v>434551.28999999992</v>
      </c>
      <c r="F23" s="16" t="s">
        <v>24</v>
      </c>
      <c r="G23" s="18">
        <f>(D30+D32+D34+D36+D38)*0.033</f>
        <v>19232.419139999998</v>
      </c>
      <c r="H23" s="19"/>
      <c r="M23" s="2"/>
    </row>
    <row r="24" spans="1:13" x14ac:dyDescent="0.55000000000000004">
      <c r="A24" s="3"/>
      <c r="B24" s="16"/>
      <c r="D24" s="19"/>
      <c r="F24" s="16" t="s">
        <v>58</v>
      </c>
      <c r="G24" s="30">
        <v>0</v>
      </c>
      <c r="H24" s="19"/>
      <c r="M24" s="2"/>
    </row>
    <row r="25" spans="1:13" x14ac:dyDescent="0.55000000000000004">
      <c r="A25" s="3"/>
      <c r="D25" s="19"/>
      <c r="F25" s="16" t="s">
        <v>25</v>
      </c>
      <c r="G25" s="30">
        <v>0</v>
      </c>
      <c r="H25" s="19"/>
      <c r="M25" s="2"/>
    </row>
    <row r="26" spans="1:13" x14ac:dyDescent="0.55000000000000004">
      <c r="A26" s="3"/>
      <c r="D26" s="19"/>
      <c r="F26" s="16" t="s">
        <v>26</v>
      </c>
      <c r="G26" s="30">
        <v>0</v>
      </c>
      <c r="H26" s="19"/>
      <c r="M26" s="2"/>
    </row>
    <row r="27" spans="1:13" x14ac:dyDescent="0.55000000000000004">
      <c r="A27" s="3"/>
      <c r="D27" s="19"/>
      <c r="F27" s="16" t="s">
        <v>44</v>
      </c>
      <c r="G27" s="30">
        <v>0</v>
      </c>
      <c r="H27" s="19"/>
      <c r="M27" s="2"/>
    </row>
    <row r="28" spans="1:13" x14ac:dyDescent="0.55000000000000004">
      <c r="A28" s="3"/>
      <c r="D28" s="19"/>
      <c r="F28" s="16" t="s">
        <v>21</v>
      </c>
      <c r="H28" s="18">
        <f>SUM(G18:G27)</f>
        <v>19437.669569999998</v>
      </c>
      <c r="M28" s="2"/>
    </row>
    <row r="29" spans="1:13" x14ac:dyDescent="0.55000000000000004">
      <c r="A29" s="32"/>
      <c r="B29" s="33"/>
      <c r="C29" s="33"/>
      <c r="D29" s="34"/>
      <c r="E29" s="33"/>
      <c r="F29" s="35"/>
      <c r="G29" s="33"/>
      <c r="H29" s="33"/>
      <c r="I29" s="33"/>
      <c r="J29" s="33"/>
      <c r="K29" s="33"/>
      <c r="L29" s="33"/>
      <c r="M29" s="36"/>
    </row>
    <row r="30" spans="1:13" x14ac:dyDescent="0.55000000000000004">
      <c r="A30" s="3"/>
      <c r="B30" s="16" t="s">
        <v>51</v>
      </c>
      <c r="D30" s="18">
        <f>Contract!D28</f>
        <v>449900</v>
      </c>
      <c r="E30" s="31" t="e">
        <f>D30/C8</f>
        <v>#VALUE!</v>
      </c>
      <c r="H30" s="18">
        <f>H16+H28</f>
        <v>19437.669569999998</v>
      </c>
      <c r="I30" s="31" t="e">
        <f>H30/C8</f>
        <v>#VALUE!</v>
      </c>
      <c r="J30" s="20">
        <f>+D30-H30</f>
        <v>430462.33042999997</v>
      </c>
      <c r="L30" s="21">
        <f>IF(D30=0,0,+J30/D30)</f>
        <v>0.95679557775061119</v>
      </c>
      <c r="M30" s="2"/>
    </row>
    <row r="31" spans="1:13" x14ac:dyDescent="0.55000000000000004">
      <c r="A31" s="32"/>
      <c r="B31" s="33"/>
      <c r="C31" s="33"/>
      <c r="D31" s="34"/>
      <c r="E31" s="33"/>
      <c r="F31" s="33"/>
      <c r="G31" s="33"/>
      <c r="H31" s="34"/>
      <c r="I31" s="33"/>
      <c r="J31" s="33"/>
      <c r="K31" s="33"/>
      <c r="L31" s="33"/>
      <c r="M31" s="36"/>
    </row>
    <row r="32" spans="1:13" x14ac:dyDescent="0.55000000000000004">
      <c r="A32" s="3"/>
      <c r="B32" s="169" t="s">
        <v>28</v>
      </c>
      <c r="C32" s="169"/>
      <c r="D32" s="30">
        <f>+Lockdown!D32</f>
        <v>80683.12</v>
      </c>
      <c r="H32" s="18">
        <f>Lockdown!H32</f>
        <v>105934.43</v>
      </c>
      <c r="J32" s="20">
        <f t="shared" ref="J32:J39" si="0">+D32-H32</f>
        <v>-25251.309999999998</v>
      </c>
      <c r="L32" s="21">
        <f t="shared" ref="L32:L39" si="1">IF(D32=0,0,+J32/D32)</f>
        <v>-0.31296893327873287</v>
      </c>
      <c r="M32" s="2"/>
    </row>
    <row r="33" spans="1:13" x14ac:dyDescent="0.55000000000000004">
      <c r="A33" s="3"/>
      <c r="B33" s="169" t="s">
        <v>49</v>
      </c>
      <c r="C33" s="169"/>
      <c r="D33" s="30">
        <f>+Lockdown!D33</f>
        <v>3629.22</v>
      </c>
      <c r="H33" s="18">
        <f>Lockdown!H33</f>
        <v>0</v>
      </c>
      <c r="J33" s="20">
        <f t="shared" si="0"/>
        <v>3629.22</v>
      </c>
      <c r="L33" s="21">
        <f t="shared" si="1"/>
        <v>1</v>
      </c>
      <c r="M33" s="2"/>
    </row>
    <row r="34" spans="1:13" x14ac:dyDescent="0.55000000000000004">
      <c r="A34" s="3"/>
      <c r="B34" s="169" t="s">
        <v>16</v>
      </c>
      <c r="C34" s="169"/>
      <c r="D34" s="30">
        <f>+Lockdown!D34</f>
        <v>52217.46</v>
      </c>
      <c r="H34" s="18">
        <f>Lockdown!H34</f>
        <v>0</v>
      </c>
      <c r="J34" s="20">
        <f t="shared" si="0"/>
        <v>52217.46</v>
      </c>
      <c r="L34" s="21">
        <f t="shared" si="1"/>
        <v>1</v>
      </c>
      <c r="M34" s="2"/>
    </row>
    <row r="35" spans="1:13" x14ac:dyDescent="0.55000000000000004">
      <c r="A35" s="3"/>
      <c r="B35" s="169" t="s">
        <v>60</v>
      </c>
      <c r="C35" s="169"/>
      <c r="D35" s="30">
        <v>0</v>
      </c>
      <c r="H35" s="18">
        <f>+D35*0.7</f>
        <v>0</v>
      </c>
      <c r="J35" s="20">
        <f t="shared" si="0"/>
        <v>0</v>
      </c>
      <c r="L35" s="21">
        <f t="shared" si="1"/>
        <v>0</v>
      </c>
      <c r="M35" s="2"/>
    </row>
    <row r="36" spans="1:13" x14ac:dyDescent="0.55000000000000004">
      <c r="A36" s="3"/>
      <c r="B36" s="169" t="s">
        <v>59</v>
      </c>
      <c r="C36" s="169"/>
      <c r="D36" s="30">
        <v>0</v>
      </c>
      <c r="H36" s="18">
        <f>+D36*0.7</f>
        <v>0</v>
      </c>
      <c r="J36" s="20">
        <f t="shared" si="0"/>
        <v>0</v>
      </c>
      <c r="L36" s="21">
        <f t="shared" si="1"/>
        <v>0</v>
      </c>
      <c r="M36" s="2"/>
    </row>
    <row r="37" spans="1:13" x14ac:dyDescent="0.55000000000000004">
      <c r="A37" s="3"/>
      <c r="B37" s="169" t="s">
        <v>9</v>
      </c>
      <c r="C37" s="169"/>
      <c r="D37" s="30">
        <f>Contract!D35</f>
        <v>0</v>
      </c>
      <c r="H37" s="30">
        <f>D37</f>
        <v>0</v>
      </c>
      <c r="J37" s="20">
        <f t="shared" si="0"/>
        <v>0</v>
      </c>
      <c r="L37" s="21">
        <f t="shared" si="1"/>
        <v>0</v>
      </c>
      <c r="M37" s="2"/>
    </row>
    <row r="38" spans="1:13" ht="14.7" thickBot="1" x14ac:dyDescent="0.6">
      <c r="A38" s="3"/>
      <c r="B38" s="16" t="s">
        <v>39</v>
      </c>
      <c r="C38" s="16"/>
      <c r="D38" s="30">
        <f>Contract!D36</f>
        <v>0</v>
      </c>
      <c r="H38" s="30">
        <v>0</v>
      </c>
      <c r="J38" s="20">
        <f t="shared" si="0"/>
        <v>0</v>
      </c>
      <c r="L38" s="21">
        <f t="shared" si="1"/>
        <v>0</v>
      </c>
      <c r="M38" s="2"/>
    </row>
    <row r="39" spans="1:13" ht="15.9" thickBot="1" x14ac:dyDescent="0.65">
      <c r="A39" s="3"/>
      <c r="B39" s="177" t="s">
        <v>10</v>
      </c>
      <c r="C39" s="177"/>
      <c r="D39" s="23">
        <f>SUM(D30:D38)</f>
        <v>586429.79999999993</v>
      </c>
      <c r="E39" s="24"/>
      <c r="F39" s="24"/>
      <c r="G39" s="24"/>
      <c r="H39" s="30">
        <f>H30+SUM(H32:H37)</f>
        <v>125372.09956999999</v>
      </c>
      <c r="I39" s="24"/>
      <c r="J39" s="25">
        <f t="shared" si="0"/>
        <v>461057.70042999997</v>
      </c>
      <c r="K39" s="26"/>
      <c r="L39" s="27">
        <f t="shared" si="1"/>
        <v>0.78621124033942347</v>
      </c>
      <c r="M39" s="2"/>
    </row>
    <row r="40" spans="1:13" x14ac:dyDescent="0.55000000000000004">
      <c r="A40" s="3"/>
      <c r="B40" s="169" t="s">
        <v>11</v>
      </c>
      <c r="C40" s="169"/>
      <c r="D40" s="18">
        <f>D39*0.05</f>
        <v>29321.489999999998</v>
      </c>
      <c r="M40" s="2"/>
    </row>
    <row r="41" spans="1:13" x14ac:dyDescent="0.55000000000000004">
      <c r="A41" s="32"/>
      <c r="B41" s="37"/>
      <c r="C41" s="37"/>
      <c r="D41" s="34"/>
      <c r="E41" s="33"/>
      <c r="F41" s="33"/>
      <c r="G41" s="33"/>
      <c r="H41" s="33"/>
      <c r="I41" s="33"/>
      <c r="J41" s="33"/>
      <c r="K41" s="33"/>
      <c r="L41" s="33"/>
      <c r="M41" s="36"/>
    </row>
    <row r="42" spans="1:13" ht="14.7" thickBot="1" x14ac:dyDescent="0.6">
      <c r="A42" s="32"/>
      <c r="B42" s="37"/>
      <c r="C42" s="37"/>
      <c r="D42" s="34"/>
      <c r="E42" s="33"/>
      <c r="F42" s="33"/>
      <c r="G42" s="33"/>
      <c r="H42" s="33"/>
      <c r="I42" s="33"/>
      <c r="J42" s="33"/>
      <c r="K42" s="33"/>
      <c r="L42" s="33"/>
      <c r="M42" s="36"/>
    </row>
    <row r="43" spans="1:13" ht="15.9" thickBot="1" x14ac:dyDescent="0.65">
      <c r="A43" s="3"/>
      <c r="B43" s="177" t="s">
        <v>42</v>
      </c>
      <c r="C43" s="177"/>
      <c r="D43" s="23">
        <f>SUM(D30:D36)+D38</f>
        <v>586429.79999999993</v>
      </c>
      <c r="E43" s="24"/>
      <c r="F43" s="24"/>
      <c r="G43" s="24"/>
      <c r="H43" s="30">
        <f>SUM(H30:H36)</f>
        <v>125372.09956999999</v>
      </c>
      <c r="I43" s="24"/>
      <c r="J43" s="25">
        <f t="shared" ref="J43" si="2">+D43-H43</f>
        <v>461057.70042999997</v>
      </c>
      <c r="K43" s="26"/>
      <c r="L43" s="27">
        <f t="shared" ref="L43" si="3">IF(D43=0,0,+J43/D43)</f>
        <v>0.78621124033942347</v>
      </c>
      <c r="M43" s="2"/>
    </row>
    <row r="44" spans="1:13" x14ac:dyDescent="0.55000000000000004">
      <c r="A44" s="32"/>
      <c r="B44" s="35"/>
      <c r="C44" s="35"/>
      <c r="D44" s="34"/>
      <c r="E44" s="33"/>
      <c r="F44" s="33"/>
      <c r="G44" s="33"/>
      <c r="H44" s="33"/>
      <c r="I44" s="33"/>
      <c r="J44" s="33"/>
      <c r="K44" s="33"/>
      <c r="L44" s="33"/>
      <c r="M44" s="36"/>
    </row>
    <row r="45" spans="1:13" ht="18.3" x14ac:dyDescent="0.7">
      <c r="A45" s="3"/>
      <c r="B45" s="178" t="s">
        <v>12</v>
      </c>
      <c r="C45" s="178"/>
      <c r="D45" s="22">
        <f>SUM(D39:D40)</f>
        <v>615751.28999999992</v>
      </c>
      <c r="M45" s="2"/>
    </row>
    <row r="46" spans="1:13" x14ac:dyDescent="0.55000000000000004">
      <c r="A46" s="3"/>
      <c r="M46" s="2"/>
    </row>
    <row r="47" spans="1:13" ht="14.7" thickBot="1" x14ac:dyDescent="0.6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</sheetData>
  <mergeCells count="30">
    <mergeCell ref="B40:C40"/>
    <mergeCell ref="B43:C43"/>
    <mergeCell ref="B45:C45"/>
    <mergeCell ref="B33:C33"/>
    <mergeCell ref="B34:C34"/>
    <mergeCell ref="B35:C35"/>
    <mergeCell ref="B36:C36"/>
    <mergeCell ref="B37:C37"/>
    <mergeCell ref="B39:C39"/>
    <mergeCell ref="B32:C32"/>
    <mergeCell ref="A6:B6"/>
    <mergeCell ref="C6:H6"/>
    <mergeCell ref="I6:J6"/>
    <mergeCell ref="K6:M6"/>
    <mergeCell ref="A7:B7"/>
    <mergeCell ref="C7:H7"/>
    <mergeCell ref="K7:M7"/>
    <mergeCell ref="A8:B8"/>
    <mergeCell ref="C8:H8"/>
    <mergeCell ref="I8:J8"/>
    <mergeCell ref="K8:M8"/>
    <mergeCell ref="B13:C13"/>
    <mergeCell ref="A5:B5"/>
    <mergeCell ref="C5:H5"/>
    <mergeCell ref="K5:M5"/>
    <mergeCell ref="A1:L1"/>
    <mergeCell ref="A2:L2"/>
    <mergeCell ref="A4:B4"/>
    <mergeCell ref="C4:H4"/>
    <mergeCell ref="K4:M4"/>
  </mergeCells>
  <dataValidations count="2">
    <dataValidation type="list" allowBlank="1" showInputMessage="1" showErrorMessage="1" sqref="K5:M5" xr:uid="{00000000-0002-0000-0300-000000000000}">
      <formula1>Areas</formula1>
    </dataValidation>
    <dataValidation type="list" allowBlank="1" showInputMessage="1" showErrorMessage="1" sqref="K8:M8" xr:uid="{00000000-0002-0000-0300-000001000000}">
      <formula1>Estimators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cellComments="asDisplayed" r:id="rId1"/>
  <headerFooter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47"/>
  <sheetViews>
    <sheetView zoomScaleNormal="100" workbookViewId="0">
      <selection activeCell="A2" sqref="A2:L2"/>
    </sheetView>
  </sheetViews>
  <sheetFormatPr defaultRowHeight="14.4" x14ac:dyDescent="0.55000000000000004"/>
  <cols>
    <col min="1" max="1" width="4.68359375" customWidth="1"/>
    <col min="2" max="2" width="13.15625" customWidth="1"/>
    <col min="3" max="3" width="16.15625" customWidth="1"/>
    <col min="4" max="4" width="14.15625" customWidth="1"/>
    <col min="5" max="5" width="8" customWidth="1"/>
    <col min="6" max="6" width="21.578125" customWidth="1"/>
    <col min="7" max="7" width="13.41796875" customWidth="1"/>
    <col min="8" max="8" width="12.83984375" customWidth="1"/>
    <col min="9" max="9" width="8" customWidth="1"/>
    <col min="10" max="10" width="12.83984375" customWidth="1"/>
    <col min="11" max="11" width="5.578125" customWidth="1"/>
  </cols>
  <sheetData>
    <row r="1" spans="1:13" ht="25.8" x14ac:dyDescent="0.95">
      <c r="A1" s="111" t="str">
        <f>Summary!A1</f>
        <v>Company Name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18.3" x14ac:dyDescent="0.7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"/>
    </row>
    <row r="3" spans="1:13" x14ac:dyDescent="0.5500000000000000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x14ac:dyDescent="0.55000000000000004">
      <c r="A4" s="115" t="s">
        <v>1</v>
      </c>
      <c r="B4" s="116"/>
      <c r="C4" s="117" t="str">
        <f>Contract!C4</f>
        <v xml:space="preserve"> </v>
      </c>
      <c r="D4" s="118"/>
      <c r="E4" s="118"/>
      <c r="F4" s="118"/>
      <c r="G4" s="118"/>
      <c r="H4" s="119"/>
      <c r="I4" s="7" t="s">
        <v>6</v>
      </c>
      <c r="J4" s="8"/>
      <c r="K4" s="122" t="str">
        <f>Contract!K4</f>
        <v xml:space="preserve"> </v>
      </c>
      <c r="L4" s="168"/>
      <c r="M4" s="123"/>
    </row>
    <row r="5" spans="1:13" x14ac:dyDescent="0.55000000000000004">
      <c r="A5" s="124" t="s">
        <v>2</v>
      </c>
      <c r="B5" s="125"/>
      <c r="C5" s="117" t="str">
        <f>Contract!C5</f>
        <v xml:space="preserve"> </v>
      </c>
      <c r="D5" s="118"/>
      <c r="E5" s="118"/>
      <c r="F5" s="118"/>
      <c r="G5" s="118"/>
      <c r="H5" s="119"/>
      <c r="I5" s="28" t="s">
        <v>7</v>
      </c>
      <c r="J5" s="29"/>
      <c r="K5" s="128"/>
      <c r="L5" s="129"/>
      <c r="M5" s="130"/>
    </row>
    <row r="6" spans="1:13" x14ac:dyDescent="0.55000000000000004">
      <c r="A6" s="124" t="s">
        <v>3</v>
      </c>
      <c r="B6" s="125"/>
      <c r="C6" s="117" t="str">
        <f>Contract!C6</f>
        <v xml:space="preserve"> </v>
      </c>
      <c r="D6" s="118"/>
      <c r="E6" s="118"/>
      <c r="F6" s="118"/>
      <c r="G6" s="118"/>
      <c r="H6" s="119"/>
      <c r="I6" s="170" t="s">
        <v>27</v>
      </c>
      <c r="J6" s="171"/>
      <c r="K6" s="172" t="str">
        <f>Contract!K6</f>
        <v xml:space="preserve"> </v>
      </c>
      <c r="L6" s="173"/>
      <c r="M6" s="174"/>
    </row>
    <row r="7" spans="1:13" x14ac:dyDescent="0.55000000000000004">
      <c r="A7" s="124" t="s">
        <v>4</v>
      </c>
      <c r="B7" s="125"/>
      <c r="C7" s="117" t="str">
        <f>Contract!C7</f>
        <v xml:space="preserve"> </v>
      </c>
      <c r="D7" s="118"/>
      <c r="E7" s="118"/>
      <c r="F7" s="118"/>
      <c r="G7" s="118"/>
      <c r="H7" s="119"/>
      <c r="I7" s="28" t="s">
        <v>57</v>
      </c>
      <c r="J7" s="29"/>
      <c r="K7" s="122" t="str">
        <f>Contract!K7</f>
        <v xml:space="preserve"> </v>
      </c>
      <c r="L7" s="168"/>
      <c r="M7" s="123"/>
    </row>
    <row r="8" spans="1:13" ht="14.7" thickBot="1" x14ac:dyDescent="0.6">
      <c r="A8" s="141" t="s">
        <v>5</v>
      </c>
      <c r="B8" s="142"/>
      <c r="C8" s="117" t="str">
        <f>Contract!C8</f>
        <v xml:space="preserve"> </v>
      </c>
      <c r="D8" s="118"/>
      <c r="E8" s="118"/>
      <c r="F8" s="118"/>
      <c r="G8" s="118"/>
      <c r="H8" s="119"/>
      <c r="I8" s="175" t="s">
        <v>46</v>
      </c>
      <c r="J8" s="176"/>
      <c r="K8" s="122" t="s">
        <v>47</v>
      </c>
      <c r="L8" s="168"/>
      <c r="M8" s="123"/>
    </row>
    <row r="9" spans="1:13" ht="14.7" thickBot="1" x14ac:dyDescent="0.6">
      <c r="A9" s="12"/>
      <c r="B9" s="13"/>
      <c r="C9" s="13"/>
      <c r="D9" s="13"/>
      <c r="E9" s="13"/>
      <c r="F9" s="13"/>
      <c r="G9" s="13"/>
      <c r="H9" s="13"/>
      <c r="I9" s="14"/>
      <c r="J9" s="14"/>
      <c r="K9" s="14"/>
      <c r="L9" s="14"/>
      <c r="M9" s="15"/>
    </row>
    <row r="10" spans="1:13" x14ac:dyDescent="0.55000000000000004">
      <c r="A10" s="3"/>
      <c r="M10" s="2"/>
    </row>
    <row r="11" spans="1:13" x14ac:dyDescent="0.55000000000000004">
      <c r="A11" s="3"/>
      <c r="D11" s="17" t="s">
        <v>13</v>
      </c>
      <c r="E11" s="17"/>
      <c r="F11" s="17"/>
      <c r="G11" s="17"/>
      <c r="H11" s="17" t="s">
        <v>14</v>
      </c>
      <c r="I11" s="17"/>
      <c r="J11" s="17" t="s">
        <v>19</v>
      </c>
      <c r="K11" s="17"/>
      <c r="L11" s="17" t="s">
        <v>20</v>
      </c>
      <c r="M11" s="2"/>
    </row>
    <row r="12" spans="1:13" x14ac:dyDescent="0.55000000000000004">
      <c r="A12" s="3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x14ac:dyDescent="0.55000000000000004">
      <c r="A13" s="3"/>
      <c r="B13" s="169" t="s">
        <v>15</v>
      </c>
      <c r="C13" s="169"/>
      <c r="D13" s="30">
        <f>Contract!D13</f>
        <v>449900</v>
      </c>
      <c r="F13" s="16" t="s">
        <v>65</v>
      </c>
      <c r="H13" s="18">
        <f>Contract!H13</f>
        <v>0</v>
      </c>
      <c r="I13" s="31" t="e">
        <f>H13/C8</f>
        <v>#VALUE!</v>
      </c>
      <c r="J13" s="20">
        <f>+D13-H13</f>
        <v>449900</v>
      </c>
      <c r="L13" s="21">
        <f>IF(D13=0,0,+J13/D13)</f>
        <v>1</v>
      </c>
      <c r="M13" s="2"/>
    </row>
    <row r="14" spans="1:13" x14ac:dyDescent="0.55000000000000004">
      <c r="A14" s="3"/>
      <c r="B14" s="40"/>
      <c r="C14" s="40"/>
      <c r="D14" s="40"/>
      <c r="F14" s="16" t="s">
        <v>66</v>
      </c>
      <c r="H14" s="18">
        <v>0</v>
      </c>
      <c r="I14" s="31"/>
      <c r="J14" s="20">
        <f t="shared" ref="J14:J15" si="0">+D14-H14</f>
        <v>0</v>
      </c>
      <c r="L14" s="21">
        <f t="shared" ref="L14:L15" si="1">IF(D14=0,0,+J14/D14)</f>
        <v>0</v>
      </c>
      <c r="M14" s="2"/>
    </row>
    <row r="15" spans="1:13" x14ac:dyDescent="0.55000000000000004">
      <c r="A15" s="3"/>
      <c r="B15" s="40"/>
      <c r="C15" s="40"/>
      <c r="D15" s="19"/>
      <c r="F15" s="16" t="s">
        <v>48</v>
      </c>
      <c r="H15" s="18">
        <v>0</v>
      </c>
      <c r="I15" s="31"/>
      <c r="J15" s="20">
        <f t="shared" si="0"/>
        <v>0</v>
      </c>
      <c r="L15" s="21">
        <f t="shared" si="1"/>
        <v>0</v>
      </c>
      <c r="M15" s="2"/>
    </row>
    <row r="16" spans="1:13" x14ac:dyDescent="0.55000000000000004">
      <c r="A16" s="3"/>
      <c r="B16" s="40"/>
      <c r="C16" s="40"/>
      <c r="D16" s="19"/>
      <c r="F16" s="16" t="s">
        <v>50</v>
      </c>
      <c r="H16" s="18">
        <f>H13+H14+H15</f>
        <v>0</v>
      </c>
      <c r="I16" s="31" t="e">
        <f>H16/C8</f>
        <v>#VALUE!</v>
      </c>
      <c r="J16" s="20">
        <f>+D13-H16</f>
        <v>449900</v>
      </c>
      <c r="L16" s="21">
        <f>IF(D13=0,0,+J16/D13)</f>
        <v>1</v>
      </c>
      <c r="M16" s="2"/>
    </row>
    <row r="17" spans="1:13" x14ac:dyDescent="0.55000000000000004">
      <c r="A17" s="3"/>
      <c r="B17" t="s">
        <v>17</v>
      </c>
      <c r="D17" s="19"/>
      <c r="F17" s="16" t="s">
        <v>8</v>
      </c>
      <c r="H17" s="19"/>
      <c r="M17" s="2"/>
    </row>
    <row r="18" spans="1:13" x14ac:dyDescent="0.55000000000000004">
      <c r="A18" s="3"/>
      <c r="B18" s="16" t="s">
        <v>30</v>
      </c>
      <c r="C18" t="s">
        <v>37</v>
      </c>
      <c r="D18" s="30">
        <f>Contract!D16</f>
        <v>1000</v>
      </c>
      <c r="F18" s="16" t="s">
        <v>22</v>
      </c>
      <c r="G18" s="30">
        <v>0</v>
      </c>
      <c r="H18" s="19"/>
      <c r="M18" s="2"/>
    </row>
    <row r="19" spans="1:13" x14ac:dyDescent="0.55000000000000004">
      <c r="A19" s="3"/>
      <c r="B19" s="16" t="s">
        <v>31</v>
      </c>
      <c r="C19" t="s">
        <v>35</v>
      </c>
      <c r="D19" s="30">
        <f>Contract!D17</f>
        <v>134500</v>
      </c>
      <c r="F19" s="16" t="s">
        <v>23</v>
      </c>
      <c r="G19" s="30">
        <f>Contract!G17</f>
        <v>0</v>
      </c>
      <c r="H19" s="19"/>
      <c r="M19" s="2"/>
    </row>
    <row r="20" spans="1:13" x14ac:dyDescent="0.55000000000000004">
      <c r="A20" s="3"/>
      <c r="B20" s="16" t="s">
        <v>32</v>
      </c>
      <c r="C20" t="s">
        <v>36</v>
      </c>
      <c r="D20" s="30">
        <f>Contract!D18</f>
        <v>7000</v>
      </c>
      <c r="F20" s="16" t="s">
        <v>45</v>
      </c>
      <c r="G20" s="30">
        <f>(D39/1000)*0.35</f>
        <v>212.71620299999998</v>
      </c>
      <c r="H20" s="19"/>
      <c r="M20" s="2"/>
    </row>
    <row r="21" spans="1:13" x14ac:dyDescent="0.55000000000000004">
      <c r="A21" s="3"/>
      <c r="B21" s="16" t="s">
        <v>33</v>
      </c>
      <c r="C21" t="s">
        <v>38</v>
      </c>
      <c r="D21" s="30">
        <f>Contract!D19</f>
        <v>38700</v>
      </c>
      <c r="F21" s="16" t="s">
        <v>43</v>
      </c>
      <c r="G21" s="30">
        <v>0</v>
      </c>
      <c r="H21" s="19"/>
      <c r="M21" s="2"/>
    </row>
    <row r="22" spans="1:13" x14ac:dyDescent="0.55000000000000004">
      <c r="A22" s="3"/>
      <c r="B22" s="16" t="s">
        <v>40</v>
      </c>
      <c r="C22" t="s">
        <v>41</v>
      </c>
      <c r="D22" s="30">
        <f>Contract!D20</f>
        <v>0</v>
      </c>
      <c r="F22" s="16" t="s">
        <v>18</v>
      </c>
      <c r="G22" s="30">
        <v>0</v>
      </c>
      <c r="H22" s="19"/>
      <c r="M22" s="2"/>
    </row>
    <row r="23" spans="1:13" x14ac:dyDescent="0.55000000000000004">
      <c r="A23" s="3"/>
      <c r="B23" s="16" t="s">
        <v>34</v>
      </c>
      <c r="D23" s="30">
        <f>D45-SUM(D18:D22)</f>
        <v>456948.60899999994</v>
      </c>
      <c r="F23" s="16" t="s">
        <v>24</v>
      </c>
      <c r="G23" s="18">
        <f>(D30+D32+D34+D36+D38)*0.033</f>
        <v>20222.419139999998</v>
      </c>
      <c r="H23" s="19"/>
      <c r="M23" s="2"/>
    </row>
    <row r="24" spans="1:13" x14ac:dyDescent="0.55000000000000004">
      <c r="A24" s="3"/>
      <c r="B24" s="16"/>
      <c r="D24" s="19"/>
      <c r="F24" s="16" t="s">
        <v>58</v>
      </c>
      <c r="G24" s="30">
        <v>0</v>
      </c>
      <c r="H24" s="19"/>
      <c r="M24" s="2"/>
    </row>
    <row r="25" spans="1:13" x14ac:dyDescent="0.55000000000000004">
      <c r="A25" s="3"/>
      <c r="D25" s="19"/>
      <c r="F25" s="16" t="s">
        <v>25</v>
      </c>
      <c r="G25" s="30">
        <v>0</v>
      </c>
      <c r="H25" s="19"/>
      <c r="M25" s="2"/>
    </row>
    <row r="26" spans="1:13" x14ac:dyDescent="0.55000000000000004">
      <c r="A26" s="3"/>
      <c r="D26" s="19"/>
      <c r="F26" s="16" t="s">
        <v>26</v>
      </c>
      <c r="G26" s="30">
        <v>0</v>
      </c>
      <c r="H26" s="19"/>
      <c r="M26" s="2"/>
    </row>
    <row r="27" spans="1:13" x14ac:dyDescent="0.55000000000000004">
      <c r="A27" s="3"/>
      <c r="D27" s="19"/>
      <c r="F27" s="16" t="s">
        <v>44</v>
      </c>
      <c r="G27" s="30">
        <v>0</v>
      </c>
      <c r="H27" s="19"/>
      <c r="M27" s="2"/>
    </row>
    <row r="28" spans="1:13" x14ac:dyDescent="0.55000000000000004">
      <c r="A28" s="3"/>
      <c r="D28" s="19"/>
      <c r="F28" s="16" t="s">
        <v>21</v>
      </c>
      <c r="H28" s="18">
        <f>SUM(G18:G27)</f>
        <v>20435.135342999998</v>
      </c>
      <c r="M28" s="2"/>
    </row>
    <row r="29" spans="1:13" x14ac:dyDescent="0.55000000000000004">
      <c r="A29" s="32"/>
      <c r="B29" s="33"/>
      <c r="C29" s="33"/>
      <c r="D29" s="34"/>
      <c r="E29" s="33"/>
      <c r="F29" s="35"/>
      <c r="G29" s="33"/>
      <c r="H29" s="33"/>
      <c r="I29" s="33"/>
      <c r="J29" s="33"/>
      <c r="K29" s="33"/>
      <c r="L29" s="33"/>
      <c r="M29" s="36"/>
    </row>
    <row r="30" spans="1:13" x14ac:dyDescent="0.55000000000000004">
      <c r="A30" s="3"/>
      <c r="B30" s="16" t="s">
        <v>51</v>
      </c>
      <c r="D30" s="18">
        <f>Contract!D28</f>
        <v>449900</v>
      </c>
      <c r="E30" s="31" t="e">
        <f>D30/C8</f>
        <v>#VALUE!</v>
      </c>
      <c r="H30" s="18">
        <f>H16+H28</f>
        <v>20435.135342999998</v>
      </c>
      <c r="I30" s="31" t="e">
        <f>H30/C8</f>
        <v>#VALUE!</v>
      </c>
      <c r="J30" s="20">
        <f>+D30-H30</f>
        <v>429464.864657</v>
      </c>
      <c r="L30" s="21">
        <f>IF(D30=0,0,+J30/D30)</f>
        <v>0.95457849445876863</v>
      </c>
      <c r="M30" s="2"/>
    </row>
    <row r="31" spans="1:13" x14ac:dyDescent="0.55000000000000004">
      <c r="A31" s="32"/>
      <c r="B31" s="33"/>
      <c r="C31" s="33"/>
      <c r="D31" s="34"/>
      <c r="E31" s="33"/>
      <c r="F31" s="33"/>
      <c r="G31" s="33"/>
      <c r="H31" s="34"/>
      <c r="I31" s="33"/>
      <c r="J31" s="33"/>
      <c r="K31" s="33"/>
      <c r="L31" s="33"/>
      <c r="M31" s="36"/>
    </row>
    <row r="32" spans="1:13" x14ac:dyDescent="0.55000000000000004">
      <c r="A32" s="3"/>
      <c r="B32" s="169" t="s">
        <v>28</v>
      </c>
      <c r="C32" s="169"/>
      <c r="D32" s="30">
        <f>Contract!D30</f>
        <v>80683.12</v>
      </c>
      <c r="H32" s="18">
        <f>'Selection Completion'!H32</f>
        <v>105934.43</v>
      </c>
      <c r="J32" s="20">
        <f t="shared" ref="J32:J39" si="2">+D32-H32</f>
        <v>-25251.309999999998</v>
      </c>
      <c r="L32" s="21">
        <f t="shared" ref="L32:L39" si="3">IF(D32=0,0,+J32/D32)</f>
        <v>-0.31296893327873287</v>
      </c>
      <c r="M32" s="2"/>
    </row>
    <row r="33" spans="1:13" x14ac:dyDescent="0.55000000000000004">
      <c r="A33" s="3"/>
      <c r="B33" s="169" t="s">
        <v>49</v>
      </c>
      <c r="C33" s="169"/>
      <c r="D33" s="30">
        <f>Contract!D31</f>
        <v>-5040</v>
      </c>
      <c r="H33" s="18">
        <f>'Selection Completion'!H33</f>
        <v>0</v>
      </c>
      <c r="J33" s="20">
        <f t="shared" si="2"/>
        <v>-5040</v>
      </c>
      <c r="L33" s="21">
        <f t="shared" si="3"/>
        <v>1</v>
      </c>
      <c r="M33" s="2"/>
    </row>
    <row r="34" spans="1:13" x14ac:dyDescent="0.55000000000000004">
      <c r="A34" s="3"/>
      <c r="B34" s="169" t="s">
        <v>16</v>
      </c>
      <c r="C34" s="169"/>
      <c r="D34" s="30">
        <f>Contract!D32</f>
        <v>52217.46</v>
      </c>
      <c r="H34" s="18">
        <f>'Selection Completion'!H34</f>
        <v>0</v>
      </c>
      <c r="J34" s="20">
        <f t="shared" si="2"/>
        <v>52217.46</v>
      </c>
      <c r="L34" s="21">
        <f t="shared" si="3"/>
        <v>1</v>
      </c>
      <c r="M34" s="2"/>
    </row>
    <row r="35" spans="1:13" x14ac:dyDescent="0.55000000000000004">
      <c r="A35" s="3"/>
      <c r="B35" s="169" t="s">
        <v>60</v>
      </c>
      <c r="C35" s="169"/>
      <c r="D35" s="30">
        <f>Contract!D33</f>
        <v>0</v>
      </c>
      <c r="H35" s="18">
        <f>'Selection Completion'!H35</f>
        <v>0</v>
      </c>
      <c r="J35" s="20">
        <f t="shared" si="2"/>
        <v>0</v>
      </c>
      <c r="L35" s="21">
        <f t="shared" si="3"/>
        <v>0</v>
      </c>
      <c r="M35" s="2"/>
    </row>
    <row r="36" spans="1:13" x14ac:dyDescent="0.55000000000000004">
      <c r="A36" s="3"/>
      <c r="B36" s="169" t="s">
        <v>59</v>
      </c>
      <c r="C36" s="169"/>
      <c r="D36" s="30">
        <f>Contract!D34</f>
        <v>30000</v>
      </c>
      <c r="H36" s="18">
        <f>'Selection Completion'!H36</f>
        <v>0</v>
      </c>
      <c r="J36" s="20">
        <f t="shared" si="2"/>
        <v>30000</v>
      </c>
      <c r="L36" s="21">
        <f t="shared" si="3"/>
        <v>1</v>
      </c>
      <c r="M36" s="2"/>
    </row>
    <row r="37" spans="1:13" x14ac:dyDescent="0.55000000000000004">
      <c r="A37" s="3"/>
      <c r="B37" s="169" t="s">
        <v>9</v>
      </c>
      <c r="C37" s="169"/>
      <c r="D37" s="30">
        <f>Contract!D35</f>
        <v>0</v>
      </c>
      <c r="H37" s="30">
        <f>D37</f>
        <v>0</v>
      </c>
      <c r="J37" s="20">
        <f t="shared" si="2"/>
        <v>0</v>
      </c>
      <c r="L37" s="21">
        <f t="shared" si="3"/>
        <v>0</v>
      </c>
      <c r="M37" s="2"/>
    </row>
    <row r="38" spans="1:13" ht="14.7" thickBot="1" x14ac:dyDescent="0.6">
      <c r="A38" s="3"/>
      <c r="B38" s="16" t="s">
        <v>39</v>
      </c>
      <c r="C38" s="16"/>
      <c r="D38" s="30">
        <f>Contract!D36</f>
        <v>0</v>
      </c>
      <c r="H38" s="30">
        <v>0</v>
      </c>
      <c r="J38" s="20">
        <f t="shared" si="2"/>
        <v>0</v>
      </c>
      <c r="L38" s="21">
        <f t="shared" si="3"/>
        <v>0</v>
      </c>
      <c r="M38" s="2"/>
    </row>
    <row r="39" spans="1:13" ht="15.9" thickBot="1" x14ac:dyDescent="0.65">
      <c r="A39" s="3"/>
      <c r="B39" s="177" t="s">
        <v>10</v>
      </c>
      <c r="C39" s="177"/>
      <c r="D39" s="23">
        <f>SUM(D30:D38)</f>
        <v>607760.57999999996</v>
      </c>
      <c r="E39" s="24"/>
      <c r="F39" s="24"/>
      <c r="G39" s="24"/>
      <c r="H39" s="30">
        <f>H30+SUM(H32:H37)</f>
        <v>126369.56534299999</v>
      </c>
      <c r="I39" s="24"/>
      <c r="J39" s="25">
        <f t="shared" si="2"/>
        <v>481391.01465699996</v>
      </c>
      <c r="K39" s="26"/>
      <c r="L39" s="27">
        <f t="shared" si="3"/>
        <v>0.79207344223773113</v>
      </c>
      <c r="M39" s="2"/>
    </row>
    <row r="40" spans="1:13" x14ac:dyDescent="0.55000000000000004">
      <c r="A40" s="3"/>
      <c r="B40" s="169" t="s">
        <v>11</v>
      </c>
      <c r="C40" s="169"/>
      <c r="D40" s="18">
        <f>D39*0.05</f>
        <v>30388.028999999999</v>
      </c>
      <c r="M40" s="2"/>
    </row>
    <row r="41" spans="1:13" x14ac:dyDescent="0.55000000000000004">
      <c r="A41" s="32"/>
      <c r="B41" s="37"/>
      <c r="C41" s="37"/>
      <c r="D41" s="34"/>
      <c r="E41" s="33"/>
      <c r="F41" s="33"/>
      <c r="G41" s="33"/>
      <c r="H41" s="33"/>
      <c r="I41" s="33"/>
      <c r="J41" s="33"/>
      <c r="K41" s="33"/>
      <c r="L41" s="33"/>
      <c r="M41" s="36"/>
    </row>
    <row r="42" spans="1:13" ht="14.7" thickBot="1" x14ac:dyDescent="0.6">
      <c r="A42" s="32"/>
      <c r="B42" s="37"/>
      <c r="C42" s="37"/>
      <c r="D42" s="34"/>
      <c r="E42" s="33"/>
      <c r="F42" s="33"/>
      <c r="G42" s="33"/>
      <c r="H42" s="33"/>
      <c r="I42" s="33"/>
      <c r="J42" s="33"/>
      <c r="K42" s="33"/>
      <c r="L42" s="33"/>
      <c r="M42" s="36"/>
    </row>
    <row r="43" spans="1:13" ht="15.9" thickBot="1" x14ac:dyDescent="0.65">
      <c r="A43" s="3"/>
      <c r="B43" s="177" t="s">
        <v>42</v>
      </c>
      <c r="C43" s="177"/>
      <c r="D43" s="23">
        <f>SUM(D30:D36)+D38</f>
        <v>607760.57999999996</v>
      </c>
      <c r="E43" s="24"/>
      <c r="F43" s="24"/>
      <c r="G43" s="24"/>
      <c r="H43" s="30">
        <f>SUM(H30:H36)</f>
        <v>126369.56534299999</v>
      </c>
      <c r="I43" s="24"/>
      <c r="J43" s="25">
        <f t="shared" ref="J43" si="4">+D43-H43</f>
        <v>481391.01465699996</v>
      </c>
      <c r="K43" s="26"/>
      <c r="L43" s="27">
        <f t="shared" ref="L43" si="5">IF(D43=0,0,+J43/D43)</f>
        <v>0.79207344223773113</v>
      </c>
      <c r="M43" s="2"/>
    </row>
    <row r="44" spans="1:13" x14ac:dyDescent="0.55000000000000004">
      <c r="A44" s="32"/>
      <c r="B44" s="35"/>
      <c r="C44" s="35"/>
      <c r="D44" s="34"/>
      <c r="E44" s="33"/>
      <c r="F44" s="33"/>
      <c r="G44" s="33"/>
      <c r="H44" s="33"/>
      <c r="I44" s="33"/>
      <c r="J44" s="33"/>
      <c r="K44" s="33"/>
      <c r="L44" s="33"/>
      <c r="M44" s="36"/>
    </row>
    <row r="45" spans="1:13" ht="18.3" x14ac:dyDescent="0.7">
      <c r="A45" s="3"/>
      <c r="B45" s="178" t="s">
        <v>12</v>
      </c>
      <c r="C45" s="178"/>
      <c r="D45" s="22">
        <f>SUM(D39:D40)</f>
        <v>638148.60899999994</v>
      </c>
      <c r="M45" s="2"/>
    </row>
    <row r="46" spans="1:13" x14ac:dyDescent="0.55000000000000004">
      <c r="A46" s="3"/>
      <c r="M46" s="2"/>
    </row>
    <row r="47" spans="1:13" ht="14.7" thickBot="1" x14ac:dyDescent="0.6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</sheetData>
  <mergeCells count="30">
    <mergeCell ref="B43:C43"/>
    <mergeCell ref="B45:C45"/>
    <mergeCell ref="B33:C33"/>
    <mergeCell ref="B34:C34"/>
    <mergeCell ref="B35:C35"/>
    <mergeCell ref="B37:C37"/>
    <mergeCell ref="B39:C39"/>
    <mergeCell ref="B40:C40"/>
    <mergeCell ref="B36:C36"/>
    <mergeCell ref="B32:C32"/>
    <mergeCell ref="A6:B6"/>
    <mergeCell ref="C6:H6"/>
    <mergeCell ref="I6:J6"/>
    <mergeCell ref="K6:M6"/>
    <mergeCell ref="A7:B7"/>
    <mergeCell ref="C7:H7"/>
    <mergeCell ref="K7:M7"/>
    <mergeCell ref="A8:B8"/>
    <mergeCell ref="C8:H8"/>
    <mergeCell ref="I8:J8"/>
    <mergeCell ref="K8:M8"/>
    <mergeCell ref="B13:C13"/>
    <mergeCell ref="A5:B5"/>
    <mergeCell ref="C5:H5"/>
    <mergeCell ref="K5:M5"/>
    <mergeCell ref="A1:L1"/>
    <mergeCell ref="A2:L2"/>
    <mergeCell ref="A4:B4"/>
    <mergeCell ref="C4:H4"/>
    <mergeCell ref="K4:M4"/>
  </mergeCells>
  <dataValidations disablePrompts="1" count="2">
    <dataValidation type="list" allowBlank="1" showInputMessage="1" showErrorMessage="1" sqref="K5:M5" xr:uid="{00000000-0002-0000-0400-000000000000}">
      <formula1>Areas</formula1>
    </dataValidation>
    <dataValidation type="list" allowBlank="1" showInputMessage="1" showErrorMessage="1" sqref="K8:M8" xr:uid="{00000000-0002-0000-0400-000001000000}">
      <formula1>Estimators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cellComments="asDisplayed" r:id="rId1"/>
  <headerFooter>
    <oddFooter>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Contract</vt:lpstr>
      <vt:lpstr>Lockdown</vt:lpstr>
      <vt:lpstr>Selection Completion</vt:lpstr>
      <vt:lpstr>Closing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Belynda Debeurs</cp:lastModifiedBy>
  <cp:lastPrinted>2014-07-24T23:01:45Z</cp:lastPrinted>
  <dcterms:created xsi:type="dcterms:W3CDTF">2011-03-30T19:10:16Z</dcterms:created>
  <dcterms:modified xsi:type="dcterms:W3CDTF">2019-04-07T19:52:18Z</dcterms:modified>
</cp:coreProperties>
</file>